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neriherrlein/Documents/Kit diagnostico financiero personal/"/>
    </mc:Choice>
  </mc:AlternateContent>
  <xr:revisionPtr revIDLastSave="0" documentId="13_ncr:1_{74C8876E-B22E-7043-868E-B84055AF301B}" xr6:coauthVersionLast="47" xr6:coauthVersionMax="47" xr10:uidLastSave="{00000000-0000-0000-0000-000000000000}"/>
  <bookViews>
    <workbookView xWindow="0" yWindow="660" windowWidth="29400" windowHeight="17160" tabRatio="500" activeTab="6" xr2:uid="{00000000-000D-0000-FFFF-FFFF00000000}"/>
  </bookViews>
  <sheets>
    <sheet name="🏠 INICIO" sheetId="1" r:id="rId1"/>
    <sheet name="⚙ Config" sheetId="2" r:id="rId2"/>
    <sheet name="💰 Ingresos" sheetId="3" r:id="rId3"/>
    <sheet name="💸 Gastos" sheetId="4" r:id="rId4"/>
    <sheet name="⚡ Flujo de Caja" sheetId="5" r:id="rId5"/>
    <sheet name="📊 Patrimonio" sheetId="6" r:id="rId6"/>
    <sheet name="📈 Interés Compuesto" sheetId="7" r:id="rId7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5" i="6" l="1"/>
  <c r="C45" i="6"/>
  <c r="F10" i="1"/>
  <c r="D10" i="1"/>
  <c r="B10" i="1"/>
  <c r="F6" i="1"/>
  <c r="D6" i="1"/>
  <c r="B6" i="1"/>
  <c r="C55" i="4"/>
  <c r="C48" i="4"/>
  <c r="D48" i="4" s="1"/>
  <c r="D46" i="4"/>
  <c r="F64" i="7"/>
  <c r="C64" i="7"/>
  <c r="E64" i="7" s="1"/>
  <c r="F63" i="7"/>
  <c r="C63" i="7"/>
  <c r="E63" i="7" s="1"/>
  <c r="F62" i="7"/>
  <c r="C62" i="7"/>
  <c r="F61" i="7"/>
  <c r="C61" i="7"/>
  <c r="E61" i="7" s="1"/>
  <c r="F60" i="7"/>
  <c r="C60" i="7"/>
  <c r="E60" i="7" s="1"/>
  <c r="F59" i="7"/>
  <c r="C59" i="7"/>
  <c r="E59" i="7" s="1"/>
  <c r="F58" i="7"/>
  <c r="C58" i="7"/>
  <c r="E58" i="7" s="1"/>
  <c r="F57" i="7"/>
  <c r="C57" i="7"/>
  <c r="E57" i="7" s="1"/>
  <c r="F56" i="7"/>
  <c r="C56" i="7"/>
  <c r="E56" i="7" s="1"/>
  <c r="F55" i="7"/>
  <c r="C55" i="7"/>
  <c r="E55" i="7" s="1"/>
  <c r="F54" i="7"/>
  <c r="C54" i="7"/>
  <c r="E54" i="7" s="1"/>
  <c r="F53" i="7"/>
  <c r="C53" i="7"/>
  <c r="E53" i="7" s="1"/>
  <c r="F52" i="7"/>
  <c r="C52" i="7"/>
  <c r="E52" i="7" s="1"/>
  <c r="F51" i="7"/>
  <c r="C51" i="7"/>
  <c r="E51" i="7" s="1"/>
  <c r="F50" i="7"/>
  <c r="C50" i="7"/>
  <c r="E50" i="7" s="1"/>
  <c r="F49" i="7"/>
  <c r="C49" i="7"/>
  <c r="E49" i="7" s="1"/>
  <c r="F48" i="7"/>
  <c r="C48" i="7"/>
  <c r="E48" i="7" s="1"/>
  <c r="F47" i="7"/>
  <c r="C47" i="7"/>
  <c r="E47" i="7" s="1"/>
  <c r="F46" i="7"/>
  <c r="C46" i="7"/>
  <c r="E46" i="7" s="1"/>
  <c r="F45" i="7"/>
  <c r="C45" i="7"/>
  <c r="E45" i="7" s="1"/>
  <c r="F44" i="7"/>
  <c r="C44" i="7"/>
  <c r="E44" i="7" s="1"/>
  <c r="F43" i="7"/>
  <c r="C43" i="7"/>
  <c r="E43" i="7" s="1"/>
  <c r="F42" i="7"/>
  <c r="C42" i="7"/>
  <c r="E42" i="7" s="1"/>
  <c r="F41" i="7"/>
  <c r="C41" i="7"/>
  <c r="E41" i="7" s="1"/>
  <c r="F40" i="7"/>
  <c r="C40" i="7"/>
  <c r="E40" i="7" s="1"/>
  <c r="F39" i="7"/>
  <c r="C39" i="7"/>
  <c r="E39" i="7" s="1"/>
  <c r="F38" i="7"/>
  <c r="C38" i="7"/>
  <c r="E38" i="7" s="1"/>
  <c r="F37" i="7"/>
  <c r="C37" i="7"/>
  <c r="E37" i="7" s="1"/>
  <c r="F36" i="7"/>
  <c r="C36" i="7"/>
  <c r="E36" i="7" s="1"/>
  <c r="F35" i="7"/>
  <c r="C35" i="7"/>
  <c r="E35" i="7" s="1"/>
  <c r="F34" i="7"/>
  <c r="C34" i="7"/>
  <c r="E34" i="7" s="1"/>
  <c r="F33" i="7"/>
  <c r="C33" i="7"/>
  <c r="E33" i="7" s="1"/>
  <c r="F32" i="7"/>
  <c r="C32" i="7"/>
  <c r="F31" i="7"/>
  <c r="C31" i="7"/>
  <c r="E31" i="7" s="1"/>
  <c r="F30" i="7"/>
  <c r="C30" i="7"/>
  <c r="E30" i="7" s="1"/>
  <c r="F29" i="7"/>
  <c r="C29" i="7"/>
  <c r="E29" i="7" s="1"/>
  <c r="F28" i="7"/>
  <c r="C28" i="7"/>
  <c r="E28" i="7" s="1"/>
  <c r="F27" i="7"/>
  <c r="C27" i="7"/>
  <c r="E27" i="7" s="1"/>
  <c r="F26" i="7"/>
  <c r="C26" i="7"/>
  <c r="E26" i="7" s="1"/>
  <c r="F25" i="7"/>
  <c r="C25" i="7"/>
  <c r="E25" i="7" s="1"/>
  <c r="B20" i="7"/>
  <c r="D14" i="7"/>
  <c r="D16" i="7" s="1"/>
  <c r="C14" i="7"/>
  <c r="C16" i="7" s="1"/>
  <c r="C44" i="6"/>
  <c r="D43" i="6"/>
  <c r="D42" i="6"/>
  <c r="D41" i="6"/>
  <c r="D40" i="6"/>
  <c r="D39" i="6"/>
  <c r="D38" i="6"/>
  <c r="D37" i="6"/>
  <c r="D36" i="6"/>
  <c r="D35" i="6"/>
  <c r="D34" i="6"/>
  <c r="D33" i="6"/>
  <c r="C27" i="6"/>
  <c r="D26" i="6"/>
  <c r="D25" i="6"/>
  <c r="D24" i="6"/>
  <c r="D23" i="6"/>
  <c r="D22" i="6"/>
  <c r="D21" i="6"/>
  <c r="D20" i="6"/>
  <c r="C17" i="6"/>
  <c r="D16" i="6"/>
  <c r="D15" i="6"/>
  <c r="D14" i="6"/>
  <c r="D13" i="6"/>
  <c r="D12" i="6"/>
  <c r="D11" i="6"/>
  <c r="D10" i="6"/>
  <c r="D9" i="6"/>
  <c r="D8" i="6"/>
  <c r="D7" i="6"/>
  <c r="D54" i="4"/>
  <c r="D53" i="4"/>
  <c r="D52" i="4"/>
  <c r="D51" i="4"/>
  <c r="D47" i="4"/>
  <c r="D45" i="4"/>
  <c r="D44" i="4"/>
  <c r="D43" i="4"/>
  <c r="C40" i="4"/>
  <c r="D40" i="4" s="1"/>
  <c r="D39" i="4"/>
  <c r="D38" i="4"/>
  <c r="D37" i="4"/>
  <c r="C34" i="4"/>
  <c r="D34" i="4" s="1"/>
  <c r="D33" i="4"/>
  <c r="D32" i="4"/>
  <c r="D31" i="4"/>
  <c r="D30" i="4"/>
  <c r="C27" i="4"/>
  <c r="D27" i="4" s="1"/>
  <c r="D26" i="4"/>
  <c r="D25" i="4"/>
  <c r="D24" i="4"/>
  <c r="C21" i="4"/>
  <c r="D21" i="4" s="1"/>
  <c r="D20" i="4"/>
  <c r="D19" i="4"/>
  <c r="D18" i="4"/>
  <c r="D17" i="4"/>
  <c r="D16" i="4"/>
  <c r="C13" i="4"/>
  <c r="D13" i="4" s="1"/>
  <c r="D12" i="4"/>
  <c r="D11" i="4"/>
  <c r="D10" i="4"/>
  <c r="D9" i="4"/>
  <c r="D8" i="4"/>
  <c r="D7" i="4"/>
  <c r="D6" i="4"/>
  <c r="C29" i="3"/>
  <c r="D29" i="3" s="1"/>
  <c r="D28" i="3"/>
  <c r="D27" i="3"/>
  <c r="D26" i="3"/>
  <c r="D25" i="3"/>
  <c r="D24" i="3"/>
  <c r="D23" i="3"/>
  <c r="C20" i="3"/>
  <c r="D19" i="3"/>
  <c r="D18" i="3"/>
  <c r="D17" i="3"/>
  <c r="D16" i="3"/>
  <c r="D15" i="3"/>
  <c r="C12" i="3"/>
  <c r="D11" i="3"/>
  <c r="D10" i="3"/>
  <c r="D9" i="3"/>
  <c r="D8" i="3"/>
  <c r="D7" i="3"/>
  <c r="D6" i="3"/>
  <c r="C30" i="6" l="1"/>
  <c r="D55" i="4"/>
  <c r="D62" i="7"/>
  <c r="D32" i="7"/>
  <c r="D25" i="7"/>
  <c r="D27" i="7"/>
  <c r="D29" i="7"/>
  <c r="D31" i="7"/>
  <c r="D33" i="7"/>
  <c r="D35" i="7"/>
  <c r="D37" i="7"/>
  <c r="D39" i="7"/>
  <c r="D41" i="7"/>
  <c r="D43" i="7"/>
  <c r="D45" i="7"/>
  <c r="D47" i="7"/>
  <c r="D49" i="7"/>
  <c r="D51" i="7"/>
  <c r="D53" i="7"/>
  <c r="D55" i="7"/>
  <c r="D57" i="7"/>
  <c r="D59" i="7"/>
  <c r="D61" i="7"/>
  <c r="D26" i="7"/>
  <c r="D28" i="7"/>
  <c r="D30" i="7"/>
  <c r="D34" i="7"/>
  <c r="D36" i="7"/>
  <c r="D38" i="7"/>
  <c r="D40" i="7"/>
  <c r="D42" i="7"/>
  <c r="D44" i="7"/>
  <c r="D46" i="7"/>
  <c r="D48" i="7"/>
  <c r="D50" i="7"/>
  <c r="D52" i="7"/>
  <c r="D54" i="7"/>
  <c r="D56" i="7"/>
  <c r="D58" i="7"/>
  <c r="D60" i="7"/>
  <c r="C15" i="7"/>
  <c r="E32" i="7"/>
  <c r="E62" i="7"/>
  <c r="C46" i="6"/>
  <c r="D17" i="6"/>
  <c r="C31" i="3"/>
  <c r="C13" i="5" s="1"/>
  <c r="E13" i="5" s="1"/>
  <c r="D27" i="6"/>
  <c r="E16" i="7"/>
  <c r="E14" i="7"/>
  <c r="D44" i="6"/>
  <c r="D63" i="7"/>
  <c r="D15" i="7"/>
  <c r="C57" i="4"/>
  <c r="D57" i="4" s="1"/>
  <c r="D20" i="3"/>
  <c r="D12" i="3"/>
  <c r="D64" i="7"/>
  <c r="D31" i="3" l="1"/>
  <c r="C5" i="5"/>
  <c r="E15" i="7"/>
  <c r="D30" i="6"/>
  <c r="D46" i="6" s="1"/>
  <c r="C59" i="4"/>
  <c r="C15" i="5" l="1"/>
  <c r="C16" i="5"/>
  <c r="E16" i="5" s="1"/>
  <c r="C14" i="5"/>
  <c r="E14" i="5" s="1"/>
  <c r="D59" i="4"/>
  <c r="D6" i="5" s="1"/>
  <c r="E15" i="5"/>
  <c r="C6" i="5"/>
  <c r="C8" i="5" s="1"/>
  <c r="C12" i="5" s="1"/>
  <c r="E12" i="5" s="1"/>
  <c r="D5" i="5"/>
  <c r="D8" i="5" l="1"/>
</calcChain>
</file>

<file path=xl/sharedStrings.xml><?xml version="1.0" encoding="utf-8"?>
<sst xmlns="http://schemas.openxmlformats.org/spreadsheetml/2006/main" count="238" uniqueCount="207">
  <si>
    <t>Kit de Diagnóstico Financiero Personal</t>
  </si>
  <si>
    <t>por Neri Herrlein  ·  neriherrlein.com.ar</t>
  </si>
  <si>
    <t>Ingresá tus datos en cada pestaña. Esta pantalla se actualiza automáticamente.</t>
  </si>
  <si>
    <t>INGRESOS TOTALES</t>
  </si>
  <si>
    <t>GASTOS TOTALES</t>
  </si>
  <si>
    <t>FLUJO DE CAJA</t>
  </si>
  <si>
    <t>mensuales</t>
  </si>
  <si>
    <t>acelerador financiero</t>
  </si>
  <si>
    <t>ACTIVOS TOTALES</t>
  </si>
  <si>
    <t>PASIVOS TOTALES</t>
  </si>
  <si>
    <t>PATRIMONIO NETO</t>
  </si>
  <si>
    <t>lo que tenés</t>
  </si>
  <si>
    <t>lo que debés</t>
  </si>
  <si>
    <t>tu riqueza real</t>
  </si>
  <si>
    <t>CÓMO USAR ESTE KIT — seguí este orden:</t>
  </si>
  <si>
    <t>1 → 💰 Ingresos</t>
  </si>
  <si>
    <t>Registrá todos tus ingresos mensuales: sueldo, freelance, pasivos</t>
  </si>
  <si>
    <t>2 → 💸 Gastos</t>
  </si>
  <si>
    <t>Detallá tus gastos fijos y variables del mes</t>
  </si>
  <si>
    <t>3 → ⚡ Flujo de Caja</t>
  </si>
  <si>
    <t>Analizá tu capacidad de ahorro y acelerador financiero</t>
  </si>
  <si>
    <t>4 → 📊 Patrimonio</t>
  </si>
  <si>
    <t>Inventariá tus activos y pasivos para conocer tu patrimonio neto</t>
  </si>
  <si>
    <t>⚙  Configuración</t>
  </si>
  <si>
    <t>Configuración</t>
  </si>
  <si>
    <t>Valor</t>
  </si>
  <si>
    <t>Nota</t>
  </si>
  <si>
    <t>Tu nombre</t>
  </si>
  <si>
    <t>Aparece en el encabezado</t>
  </si>
  <si>
    <t>Mes analizado</t>
  </si>
  <si>
    <t>Período del análisis</t>
  </si>
  <si>
    <t>Tipo de cambio USD (pesos por dólar)</t>
  </si>
  <si>
    <t>Actualizá mensualmente</t>
  </si>
  <si>
    <t>% ahorro meta</t>
  </si>
  <si>
    <t>Meta de ahorro sobre ingresos</t>
  </si>
  <si>
    <t>Moneda local</t>
  </si>
  <si>
    <t>ARS $</t>
  </si>
  <si>
    <t>Símbolo de moneda</t>
  </si>
  <si>
    <t>CONVENCIÓN DE COLORES</t>
  </si>
  <si>
    <t xml:space="preserve">  Ejemplo</t>
  </si>
  <si>
    <t>Celda de ingreso — escribí acá tu número</t>
  </si>
  <si>
    <t>Celda calculada — NO modificar</t>
  </si>
  <si>
    <t>Fórmula que trae datos de otra hoja</t>
  </si>
  <si>
    <t>Total / resultado automático</t>
  </si>
  <si>
    <t>💰  Ingresos Mensuales</t>
  </si>
  <si>
    <t>Concepto</t>
  </si>
  <si>
    <t>Pesos ($)</t>
  </si>
  <si>
    <t>USD (ref.)</t>
  </si>
  <si>
    <t>Nota / Fuente</t>
  </si>
  <si>
    <t xml:space="preserve">  Ingresos Ganados  — intercambiás tiempo por dinero</t>
  </si>
  <si>
    <t>Sueldo / salario en relación de dependencia</t>
  </si>
  <si>
    <t>Ingreso autónomo / freelance (promedio 3 meses)</t>
  </si>
  <si>
    <t>Segunda actividad laboral</t>
  </si>
  <si>
    <t>Horas extras</t>
  </si>
  <si>
    <t>Becas / pensiones</t>
  </si>
  <si>
    <t>Otros ingresos ganados</t>
  </si>
  <si>
    <t>TOTAL INGRESOS GANADOS</t>
  </si>
  <si>
    <t xml:space="preserve">  Ingresos Pasivos  — se generan sin usar tu tiempo</t>
  </si>
  <si>
    <t>Alquiler de propiedad</t>
  </si>
  <si>
    <t>Alquiler de vehículo / maquinaria</t>
  </si>
  <si>
    <t>Negocio automatizado / franquicia</t>
  </si>
  <si>
    <t>Regalías / derechos de autor</t>
  </si>
  <si>
    <t>Otros ingresos pasivos</t>
  </si>
  <si>
    <t>TOTAL INGRESOS PASIVOS</t>
  </si>
  <si>
    <t xml:space="preserve">  Ingresos de Cartera  — provenientes de inversiones</t>
  </si>
  <si>
    <t>Dividendos de acciones</t>
  </si>
  <si>
    <t>Cupones de bonos / obligaciones negociables</t>
  </si>
  <si>
    <t>Rendimiento de FCI (Fondos Comunes de Inversión)</t>
  </si>
  <si>
    <t>Intereses de plazo fijo / cuenta remunerada</t>
  </si>
  <si>
    <t>Criptoactivos (rendimientos mensuales estimados)</t>
  </si>
  <si>
    <t>Otros ingresos de cartera</t>
  </si>
  <si>
    <t>TOTAL INGRESOS DE CARTERA</t>
  </si>
  <si>
    <t>INGRESOS TOTALES DEL MES</t>
  </si>
  <si>
    <t>💡 Tip: Si tus ingresos son variables, usá el promedio de los últimos 3 meses como referencia.</t>
  </si>
  <si>
    <t>💸  Gastos Mensuales</t>
  </si>
  <si>
    <t>Tipo</t>
  </si>
  <si>
    <t xml:space="preserve">  Vivienda</t>
  </si>
  <si>
    <t>Alquiler / cuota hipoteca</t>
  </si>
  <si>
    <t>Expensas / ABL</t>
  </si>
  <si>
    <t>Gas</t>
  </si>
  <si>
    <t>Luz / electricidad</t>
  </si>
  <si>
    <t>Agua</t>
  </si>
  <si>
    <t>Internet / cable</t>
  </si>
  <si>
    <t>Mantenimiento del hogar</t>
  </si>
  <si>
    <t>Subtotal Vivienda</t>
  </si>
  <si>
    <t xml:space="preserve">  Transporte</t>
  </si>
  <si>
    <t>Combustible</t>
  </si>
  <si>
    <t>SUBE / transporte público</t>
  </si>
  <si>
    <t>Seguro de vehículo</t>
  </si>
  <si>
    <t>Patente / impuestos vehículo</t>
  </si>
  <si>
    <t>Estacionamiento / peajes</t>
  </si>
  <si>
    <t>Subtotal Transporte</t>
  </si>
  <si>
    <t xml:space="preserve">  Alimentación</t>
  </si>
  <si>
    <t>Supermercado</t>
  </si>
  <si>
    <t>Verdulería / carnicería</t>
  </si>
  <si>
    <t>Restaurantes / delivery</t>
  </si>
  <si>
    <t>Subtotal Alimentación</t>
  </si>
  <si>
    <t xml:space="preserve">  Salud y bienestar</t>
  </si>
  <si>
    <t>Prepaga / obra social adicional</t>
  </si>
  <si>
    <t>Medicamentos</t>
  </si>
  <si>
    <t>Gimnasio / deporte</t>
  </si>
  <si>
    <t>Psicólogo / terapeuta</t>
  </si>
  <si>
    <t>Subtotal Salud y bienestar</t>
  </si>
  <si>
    <t xml:space="preserve">  Educación y desarrollo</t>
  </si>
  <si>
    <t>Cursos / capacitaciones</t>
  </si>
  <si>
    <t>Libros / suscripciones digitales</t>
  </si>
  <si>
    <t>Colegio / universidad (cuotas)</t>
  </si>
  <si>
    <t>Subtotal Educación y desarrollo</t>
  </si>
  <si>
    <t xml:space="preserve">  Deudas y finanzas</t>
  </si>
  <si>
    <t>Tarjeta de crédito (mínimo o total)</t>
  </si>
  <si>
    <t>Cuotas de préstamos personales</t>
  </si>
  <si>
    <t>Monotributo / autónomos</t>
  </si>
  <si>
    <t>Impuestos varios</t>
  </si>
  <si>
    <t>Subtotal Deudas y finanzas</t>
  </si>
  <si>
    <t xml:space="preserve">  Ocio y personal</t>
  </si>
  <si>
    <t>Ropa y calzado</t>
  </si>
  <si>
    <t>Salidas / entretenimiento</t>
  </si>
  <si>
    <t>Streaming y suscripciones</t>
  </si>
  <si>
    <t>Gastos personales varios</t>
  </si>
  <si>
    <t>Subtotal Ocio y personal</t>
  </si>
  <si>
    <t>Imprevistos (recomendado: 10% del total)</t>
  </si>
  <si>
    <t>TOTAL GASTOS DEL MES</t>
  </si>
  <si>
    <t>⚡  Flujo de Caja — Tu Acelerador Financiero</t>
  </si>
  <si>
    <t>Indicador</t>
  </si>
  <si>
    <t>Ingresos totales del mes</t>
  </si>
  <si>
    <t>De la pestaña Ingresos</t>
  </si>
  <si>
    <t>Gastos totales del mes</t>
  </si>
  <si>
    <t>De la pestaña Gastos</t>
  </si>
  <si>
    <t>⚡ FLUJO DE CAJA (Acelerador Financiero)</t>
  </si>
  <si>
    <t>INDICADORES DE SALUD FINANCIERA</t>
  </si>
  <si>
    <t>Resultado</t>
  </si>
  <si>
    <t>¿Qué significa?</t>
  </si>
  <si>
    <t>Semáforo</t>
  </si>
  <si>
    <t>Capacidad de ahorro (% sobre ingresos)</t>
  </si>
  <si>
    <t>% Ingresos pasivos sobre total</t>
  </si>
  <si>
    <t>Índice de gastos superfluos (ocio+ropa / gastos totales)</t>
  </si>
  <si>
    <t>Meses de libertad (activos / gastos mensuales)</t>
  </si>
  <si>
    <t>DIAGNÓSTICO AUTOMÁTICO</t>
  </si>
  <si>
    <t>Ver pestaña Interés Compuesto para simulaciones y Regla del 72</t>
  </si>
  <si>
    <t>📊  Estado Patrimonial — Activos &amp; Pasivos</t>
  </si>
  <si>
    <t>Liquidez</t>
  </si>
  <si>
    <t xml:space="preserve">  ACTIVOS — Lo que tenés</t>
  </si>
  <si>
    <t xml:space="preserve">  Activos Rentables (te generan dinero)</t>
  </si>
  <si>
    <t>Ahorro en efectivo / cuenta bancaria</t>
  </si>
  <si>
    <t>Alta</t>
  </si>
  <si>
    <t>Plazo fijo / cuenta remunerada</t>
  </si>
  <si>
    <t>Acciones / ETFs / FCI</t>
  </si>
  <si>
    <t>Bonos / obligaciones negociables</t>
  </si>
  <si>
    <t>Criptoactivos (BTC, ETH, stablecoins)</t>
  </si>
  <si>
    <t>Propiedad en alquiler</t>
  </si>
  <si>
    <t>Baja</t>
  </si>
  <si>
    <t>Negocio / franquicia</t>
  </si>
  <si>
    <t>Media</t>
  </si>
  <si>
    <t>Plan de capitalización / retiro privado</t>
  </si>
  <si>
    <t>Crowdfunding / préstamos P2P</t>
  </si>
  <si>
    <t>Otros activos rentables</t>
  </si>
  <si>
    <t>Subtotal Activos Rentables</t>
  </si>
  <si>
    <t xml:space="preserve">  Activos No Rentables (valor pero no generan flujo)</t>
  </si>
  <si>
    <t>Vivienda propia (valor de mercado)</t>
  </si>
  <si>
    <t>Vehículo propio</t>
  </si>
  <si>
    <t>Moto / bicicleta</t>
  </si>
  <si>
    <t>Electrodomésticos / electrónica</t>
  </si>
  <si>
    <t>Joyas / metales preciosos</t>
  </si>
  <si>
    <t>Obras de arte / coleccionables</t>
  </si>
  <si>
    <t>Otros activos no rentables</t>
  </si>
  <si>
    <t>Subtotal Activos No Rentables</t>
  </si>
  <si>
    <t xml:space="preserve">  PASIVOS — Lo que debés</t>
  </si>
  <si>
    <t>Tarjeta de crédito (saldo total)</t>
  </si>
  <si>
    <t>Préstamo personal</t>
  </si>
  <si>
    <t>Préstamo hipotecario (saldo pendiente)</t>
  </si>
  <si>
    <t>Deuda con familiares / amigos</t>
  </si>
  <si>
    <t>Impuestos atrasados</t>
  </si>
  <si>
    <t>Cuotas de bienes (autos, electrodomésticos)</t>
  </si>
  <si>
    <t>Deuda de tarjeta en cuotas (total comprometido)</t>
  </si>
  <si>
    <t>Otros pasivos</t>
  </si>
  <si>
    <t>🏆 PATRIMONIO NETO</t>
  </si>
  <si>
    <t>Activos Totales − Pasivos Totales = tu riqueza real. Objetivo: que crezca cada mes.</t>
  </si>
  <si>
    <t>📈  Simulador de Interés Compuesto</t>
  </si>
  <si>
    <t>PARÁMETROS DE SIMULACIÓN — modificá los valores azules</t>
  </si>
  <si>
    <t>Parámetro</t>
  </si>
  <si>
    <t>Tasa de interés anual (%)</t>
  </si>
  <si>
    <t>Años de inversión</t>
  </si>
  <si>
    <t>RESULTADOS</t>
  </si>
  <si>
    <t>Simple</t>
  </si>
  <si>
    <t>Compuesto</t>
  </si>
  <si>
    <t>Diferencia</t>
  </si>
  <si>
    <t>Capital final</t>
  </si>
  <si>
    <t>Intereses ganados</t>
  </si>
  <si>
    <t>Multiplicador del capital</t>
  </si>
  <si>
    <t>REGLA DEL 72 — ¿Cuánto tarda en duplicarse tu dinero?</t>
  </si>
  <si>
    <t>PROYECCIÓN AÑO A AÑO</t>
  </si>
  <si>
    <t>Año</t>
  </si>
  <si>
    <t>Capital Acumulado</t>
  </si>
  <si>
    <t>Intereses del Año</t>
  </si>
  <si>
    <t>Total Intereses</t>
  </si>
  <si>
    <t>Aportes Acumulados</t>
  </si>
  <si>
    <t>Capital inicial (USD)</t>
  </si>
  <si>
    <t>Aporte mensual adicional (USD)</t>
  </si>
  <si>
    <t>% Ingresos pasivos vs Gastos (salida de la carrera de la rata)</t>
  </si>
  <si>
    <t>Hipoteca</t>
  </si>
  <si>
    <t>Aumento ingresos o ajusto gastos</t>
  </si>
  <si>
    <t>Sumar ingresos pasivos</t>
  </si>
  <si>
    <t>Objetivo 100%</t>
  </si>
  <si>
    <t>Cuanto sobrevivo sin ingresos</t>
  </si>
  <si>
    <t>Despilfarro de dinero</t>
  </si>
  <si>
    <t>Juan</t>
  </si>
  <si>
    <t>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</si>
</sst>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\ * #,##0.00_);_(&quot;$&quot;\ * \(#,##0.00\);_(&quot;$&quot;\ * &quot;-&quot;??_);_(@_)"/>
    <numFmt numFmtId="164" formatCode="&quot;$ &quot;#,##0"/>
    <numFmt numFmtId="165" formatCode="&quot;$ &quot;#,##0;&quot;($ &quot;#,##0\);\-"/>
    <numFmt numFmtId="166" formatCode="0.0%"/>
    <numFmt numFmtId="167" formatCode="0.0"/>
    <numFmt numFmtId="168" formatCode="0.0\x"/>
    <numFmt numFmtId="169" formatCode="_([$USD]\ * #,##0.00_);_([$USD]\ * \(#,##0.00\);_([$USD]\ * &quot;-&quot;??_);_(@_)"/>
  </numFmts>
  <fonts count="40" x14ac:knownFonts="1">
    <font>
      <sz val="11"/>
      <color theme="1"/>
      <name val="Calibri"/>
      <family val="2"/>
      <charset val="1"/>
    </font>
    <font>
      <b/>
      <sz val="20"/>
      <color rgb="FFFFFFFF"/>
      <name val="Arial"/>
      <family val="2"/>
    </font>
    <font>
      <i/>
      <sz val="10"/>
      <color rgb="FF5DCAA5"/>
      <name val="Arial"/>
      <family val="2"/>
    </font>
    <font>
      <i/>
      <sz val="11"/>
      <color rgb="FF5F5E5A"/>
      <name val="Arial"/>
      <family val="2"/>
    </font>
    <font>
      <sz val="9"/>
      <color rgb="FF5F5E5A"/>
      <name val="Arial"/>
      <family val="2"/>
    </font>
    <font>
      <b/>
      <sz val="16"/>
      <color rgb="FF0F6E56"/>
      <name val="Arial"/>
      <family val="2"/>
    </font>
    <font>
      <i/>
      <sz val="8"/>
      <color rgb="FF5F5E5A"/>
      <name val="Arial"/>
      <family val="2"/>
    </font>
    <font>
      <b/>
      <sz val="10"/>
      <color rgb="FFFFFFFF"/>
      <name val="Arial"/>
      <family val="2"/>
    </font>
    <font>
      <b/>
      <sz val="10"/>
      <color rgb="FF0F6E56"/>
      <name val="Arial"/>
      <family val="2"/>
    </font>
    <font>
      <sz val="10"/>
      <color rgb="FF2C2C2A"/>
      <name val="Arial"/>
      <family val="2"/>
    </font>
    <font>
      <b/>
      <sz val="16"/>
      <color rgb="FFFFFFFF"/>
      <name val="Arial"/>
      <family val="2"/>
    </font>
    <font>
      <b/>
      <sz val="9"/>
      <color rgb="FF2C2C2A"/>
      <name val="Arial"/>
      <family val="2"/>
    </font>
    <font>
      <b/>
      <sz val="10"/>
      <color rgb="FF0000FF"/>
      <name val="Arial"/>
      <family val="2"/>
    </font>
    <font>
      <i/>
      <sz val="9"/>
      <color rgb="FF5F5E5A"/>
      <name val="Arial"/>
      <family val="2"/>
    </font>
    <font>
      <b/>
      <sz val="11"/>
      <color rgb="FFFFFFFF"/>
      <name val="Arial"/>
      <family val="2"/>
    </font>
    <font>
      <sz val="9"/>
      <color rgb="FF2C2C2A"/>
      <name val="Arial"/>
      <family val="2"/>
    </font>
    <font>
      <b/>
      <sz val="10"/>
      <color rgb="FF000000"/>
      <name val="Arial"/>
      <family val="2"/>
    </font>
    <font>
      <b/>
      <sz val="10"/>
      <color rgb="FF008000"/>
      <name val="Arial"/>
      <family val="2"/>
    </font>
    <font>
      <sz val="10"/>
      <color rgb="FF0000FF"/>
      <name val="Arial"/>
      <family val="2"/>
    </font>
    <font>
      <sz val="10"/>
      <color rgb="FF008000"/>
      <name val="Arial"/>
      <family val="2"/>
    </font>
    <font>
      <b/>
      <sz val="12"/>
      <color rgb="FFFFFFFF"/>
      <name val="Arial"/>
      <family val="2"/>
    </font>
    <font>
      <i/>
      <sz val="9"/>
      <color rgb="FF1D9E75"/>
      <name val="Arial"/>
      <family val="2"/>
    </font>
    <font>
      <i/>
      <sz val="10"/>
      <color rgb="FF5F5E5A"/>
      <name val="Arial"/>
      <family val="2"/>
    </font>
    <font>
      <sz val="10"/>
      <color rgb="FF000000"/>
      <name val="Arial"/>
      <family val="2"/>
    </font>
    <font>
      <b/>
      <sz val="9"/>
      <name val="Arial"/>
      <family val="2"/>
    </font>
    <font>
      <i/>
      <sz val="10"/>
      <color rgb="FF1D9E75"/>
      <name val="Arial"/>
      <family val="2"/>
    </font>
    <font>
      <b/>
      <sz val="13"/>
      <color rgb="FFFFFFFF"/>
      <name val="Arial"/>
      <family val="2"/>
    </font>
    <font>
      <b/>
      <sz val="11"/>
      <color rgb="FF0000FF"/>
      <name val="Arial"/>
      <family val="2"/>
    </font>
    <font>
      <sz val="10"/>
      <color rgb="FF1D9E75"/>
      <name val="Arial"/>
      <family val="2"/>
    </font>
    <font>
      <b/>
      <sz val="11"/>
      <color rgb="FF0F6E56"/>
      <name val="Arial"/>
      <family val="2"/>
    </font>
    <font>
      <sz val="9"/>
      <color rgb="FF000000"/>
      <name val="Arial"/>
      <family val="2"/>
    </font>
    <font>
      <sz val="9"/>
      <color rgb="FF1D9E75"/>
      <name val="Arial"/>
      <family val="2"/>
    </font>
    <font>
      <b/>
      <sz val="9"/>
      <color rgb="FF0F6E56"/>
      <name val="Arial"/>
      <family val="2"/>
    </font>
    <font>
      <b/>
      <sz val="16"/>
      <color rgb="FFFF0000"/>
      <name val="Arial"/>
      <family val="2"/>
    </font>
    <font>
      <b/>
      <sz val="16"/>
      <color theme="3"/>
      <name val="Arial"/>
      <family val="2"/>
    </font>
    <font>
      <b/>
      <sz val="16"/>
      <color rgb="FFFFFFFF"/>
      <name val="Arial"/>
      <family val="2"/>
    </font>
    <font>
      <sz val="10"/>
      <color rgb="FF2C2C2A"/>
      <name val="Arial"/>
      <family val="2"/>
    </font>
    <font>
      <b/>
      <sz val="11"/>
      <color rgb="FFFFFFFF"/>
      <name val="Arial"/>
      <family val="2"/>
    </font>
    <font>
      <b/>
      <sz val="10"/>
      <color rgb="FFFFFFFF"/>
      <name val="Arial"/>
      <family val="2"/>
    </font>
    <font>
      <sz val="11"/>
      <color theme="1"/>
      <name val="Calibri"/>
      <family val="2"/>
      <charset val="1"/>
    </font>
  </fonts>
  <fills count="13">
    <fill>
      <patternFill patternType="none"/>
    </fill>
    <fill>
      <patternFill patternType="gray125"/>
    </fill>
    <fill>
      <patternFill patternType="solid">
        <fgColor rgb="FF0F6E56"/>
        <bgColor rgb="FF008080"/>
      </patternFill>
    </fill>
    <fill>
      <patternFill patternType="solid">
        <fgColor rgb="FFF1EFE8"/>
        <bgColor rgb="FFFAECE7"/>
      </patternFill>
    </fill>
    <fill>
      <patternFill patternType="solid">
        <fgColor rgb="FF1D9E75"/>
        <bgColor rgb="FF008080"/>
      </patternFill>
    </fill>
    <fill>
      <patternFill patternType="solid">
        <fgColor rgb="FFE1F5EE"/>
        <bgColor rgb="FFF1EFE8"/>
      </patternFill>
    </fill>
    <fill>
      <patternFill patternType="solid">
        <fgColor rgb="FFFFFFFF"/>
        <bgColor rgb="FFF1EFE8"/>
      </patternFill>
    </fill>
    <fill>
      <patternFill patternType="solid">
        <fgColor rgb="FFFAEEDA"/>
        <bgColor rgb="FFFAECE7"/>
      </patternFill>
    </fill>
    <fill>
      <patternFill patternType="solid">
        <fgColor rgb="FF5F5E5A"/>
        <bgColor rgb="FF8B5500"/>
      </patternFill>
    </fill>
    <fill>
      <patternFill patternType="solid">
        <fgColor rgb="FF993C1D"/>
        <bgColor rgb="FF8B5500"/>
      </patternFill>
    </fill>
    <fill>
      <patternFill patternType="solid">
        <fgColor theme="3" tint="0.39997558519241921"/>
        <bgColor rgb="FF008080"/>
      </patternFill>
    </fill>
    <fill>
      <patternFill patternType="solid">
        <fgColor theme="5" tint="0.39997558519241921"/>
        <bgColor rgb="FF008080"/>
      </patternFill>
    </fill>
    <fill>
      <patternFill patternType="solid">
        <fgColor theme="5" tint="-0.249977111117893"/>
        <bgColor rgb="FF008080"/>
      </patternFill>
    </fill>
  </fills>
  <borders count="10">
    <border>
      <left/>
      <right/>
      <top/>
      <bottom/>
      <diagonal/>
    </border>
    <border>
      <left style="thin">
        <color rgb="FFD3D1C7"/>
      </left>
      <right style="thin">
        <color rgb="FFD3D1C7"/>
      </right>
      <top style="thin">
        <color rgb="FFD3D1C7"/>
      </top>
      <bottom style="thin">
        <color rgb="FFD3D1C7"/>
      </bottom>
      <diagonal/>
    </border>
    <border>
      <left style="thin">
        <color rgb="FFD3D1C7"/>
      </left>
      <right/>
      <top style="thin">
        <color rgb="FFD3D1C7"/>
      </top>
      <bottom style="thin">
        <color rgb="FFD3D1C7"/>
      </bottom>
      <diagonal/>
    </border>
    <border>
      <left/>
      <right/>
      <top/>
      <bottom style="thin">
        <color rgb="FF1D9E75"/>
      </bottom>
      <diagonal/>
    </border>
    <border>
      <left/>
      <right/>
      <top/>
      <bottom style="thin">
        <color rgb="FFD3D1C7"/>
      </bottom>
      <diagonal/>
    </border>
    <border>
      <left style="thin">
        <color rgb="FF1D9E75"/>
      </left>
      <right style="thin">
        <color rgb="FF1D9E75"/>
      </right>
      <top style="thin">
        <color rgb="FF1D9E75"/>
      </top>
      <bottom style="thin">
        <color rgb="FF1D9E75"/>
      </bottom>
      <diagonal/>
    </border>
    <border>
      <left style="medium">
        <color rgb="FF0F6E56"/>
      </left>
      <right style="medium">
        <color rgb="FF0F6E56"/>
      </right>
      <top style="medium">
        <color rgb="FF0F6E56"/>
      </top>
      <bottom style="medium">
        <color rgb="FF0F6E56"/>
      </bottom>
      <diagonal/>
    </border>
    <border>
      <left style="thin">
        <color rgb="FF0F6E56"/>
      </left>
      <right style="thin">
        <color rgb="FF0F6E56"/>
      </right>
      <top style="thin">
        <color rgb="FF0F6E56"/>
      </top>
      <bottom style="thin">
        <color rgb="FF0F6E56"/>
      </bottom>
      <diagonal/>
    </border>
    <border>
      <left style="medium">
        <color rgb="FF993C1D"/>
      </left>
      <right style="medium">
        <color rgb="FF993C1D"/>
      </right>
      <top style="medium">
        <color rgb="FF993C1D"/>
      </top>
      <bottom style="medium">
        <color rgb="FF993C1D"/>
      </bottom>
      <diagonal/>
    </border>
    <border>
      <left style="thin">
        <color rgb="FF1D9E75"/>
      </left>
      <right/>
      <top style="thin">
        <color rgb="FF1D9E75"/>
      </top>
      <bottom style="thin">
        <color rgb="FF1D9E75"/>
      </bottom>
      <diagonal/>
    </border>
  </borders>
  <cellStyleXfs count="2">
    <xf numFmtId="0" fontId="0" fillId="0" borderId="0"/>
    <xf numFmtId="44" fontId="39" fillId="0" borderId="0" applyFont="0" applyFill="0" applyBorder="0" applyAlignment="0" applyProtection="0"/>
  </cellStyleXfs>
  <cellXfs count="98">
    <xf numFmtId="0" fontId="0" fillId="0" borderId="0" xfId="0"/>
    <xf numFmtId="0" fontId="0" fillId="2" borderId="0" xfId="0" applyFill="1"/>
    <xf numFmtId="0" fontId="8" fillId="5" borderId="1" xfId="0" applyFont="1" applyFill="1" applyBorder="1" applyAlignment="1">
      <alignment horizontal="left" vertical="center"/>
    </xf>
    <xf numFmtId="0" fontId="11" fillId="5" borderId="3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12" fillId="7" borderId="1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9" fontId="12" fillId="7" borderId="1" xfId="0" applyNumberFormat="1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7" fillId="5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9" fillId="6" borderId="4" xfId="0" applyFont="1" applyFill="1" applyBorder="1" applyAlignment="1">
      <alignment horizontal="left" vertical="center"/>
    </xf>
    <xf numFmtId="165" fontId="18" fillId="7" borderId="4" xfId="0" applyNumberFormat="1" applyFont="1" applyFill="1" applyBorder="1" applyAlignment="1">
      <alignment horizontal="right" vertical="center"/>
    </xf>
    <xf numFmtId="0" fontId="7" fillId="4" borderId="5" xfId="0" applyFont="1" applyFill="1" applyBorder="1" applyAlignment="1">
      <alignment horizontal="left" vertical="center"/>
    </xf>
    <xf numFmtId="165" fontId="7" fillId="4" borderId="5" xfId="0" applyNumberFormat="1" applyFont="1" applyFill="1" applyBorder="1" applyAlignment="1">
      <alignment horizontal="right" vertical="center"/>
    </xf>
    <xf numFmtId="0" fontId="20" fillId="2" borderId="6" xfId="0" applyFont="1" applyFill="1" applyBorder="1" applyAlignment="1">
      <alignment horizontal="left" vertical="center"/>
    </xf>
    <xf numFmtId="165" fontId="20" fillId="2" borderId="6" xfId="0" applyNumberFormat="1" applyFont="1" applyFill="1" applyBorder="1" applyAlignment="1">
      <alignment horizontal="right" vertical="center"/>
    </xf>
    <xf numFmtId="0" fontId="22" fillId="0" borderId="4" xfId="0" applyFont="1" applyBorder="1" applyAlignment="1">
      <alignment horizontal="left" vertical="center"/>
    </xf>
    <xf numFmtId="165" fontId="23" fillId="3" borderId="4" xfId="0" applyNumberFormat="1" applyFont="1" applyFill="1" applyBorder="1" applyAlignment="1">
      <alignment horizontal="right" vertical="center"/>
    </xf>
    <xf numFmtId="0" fontId="20" fillId="2" borderId="7" xfId="0" applyFont="1" applyFill="1" applyBorder="1" applyAlignment="1">
      <alignment horizontal="left" vertical="center"/>
    </xf>
    <xf numFmtId="165" fontId="20" fillId="2" borderId="7" xfId="0" applyNumberFormat="1" applyFont="1" applyFill="1" applyBorder="1" applyAlignment="1">
      <alignment horizontal="right" vertical="center"/>
    </xf>
    <xf numFmtId="166" fontId="8" fillId="5" borderId="1" xfId="0" applyNumberFormat="1" applyFont="1" applyFill="1" applyBorder="1" applyAlignment="1">
      <alignment horizontal="center" vertical="center"/>
    </xf>
    <xf numFmtId="0" fontId="24" fillId="0" borderId="4" xfId="0" applyFont="1" applyBorder="1" applyAlignment="1">
      <alignment horizontal="left" vertical="center"/>
    </xf>
    <xf numFmtId="167" fontId="8" fillId="5" borderId="1" xfId="0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4" fillId="2" borderId="6" xfId="0" applyFont="1" applyFill="1" applyBorder="1" applyAlignment="1">
      <alignment horizontal="left" vertical="center"/>
    </xf>
    <xf numFmtId="165" fontId="14" fillId="2" borderId="6" xfId="0" applyNumberFormat="1" applyFont="1" applyFill="1" applyBorder="1" applyAlignment="1">
      <alignment horizontal="right" vertical="center"/>
    </xf>
    <xf numFmtId="0" fontId="14" fillId="9" borderId="8" xfId="0" applyFont="1" applyFill="1" applyBorder="1" applyAlignment="1">
      <alignment horizontal="left" vertical="center"/>
    </xf>
    <xf numFmtId="165" fontId="14" fillId="9" borderId="8" xfId="0" applyNumberFormat="1" applyFont="1" applyFill="1" applyBorder="1" applyAlignment="1">
      <alignment horizontal="right" vertical="center"/>
    </xf>
    <xf numFmtId="0" fontId="26" fillId="2" borderId="6" xfId="0" applyFont="1" applyFill="1" applyBorder="1" applyAlignment="1">
      <alignment horizontal="left" vertical="center"/>
    </xf>
    <xf numFmtId="165" fontId="26" fillId="2" borderId="6" xfId="0" applyNumberFormat="1" applyFont="1" applyFill="1" applyBorder="1" applyAlignment="1">
      <alignment horizontal="right" vertical="center"/>
    </xf>
    <xf numFmtId="164" fontId="27" fillId="7" borderId="1" xfId="0" applyNumberFormat="1" applyFont="1" applyFill="1" applyBorder="1" applyAlignment="1">
      <alignment horizontal="center" vertical="center"/>
    </xf>
    <xf numFmtId="166" fontId="27" fillId="7" borderId="1" xfId="0" applyNumberFormat="1" applyFont="1" applyFill="1" applyBorder="1" applyAlignment="1">
      <alignment horizontal="center" vertical="center"/>
    </xf>
    <xf numFmtId="1" fontId="27" fillId="7" borderId="1" xfId="0" applyNumberFormat="1" applyFont="1" applyFill="1" applyBorder="1" applyAlignment="1">
      <alignment horizontal="center" vertical="center"/>
    </xf>
    <xf numFmtId="164" fontId="23" fillId="3" borderId="1" xfId="0" applyNumberFormat="1" applyFont="1" applyFill="1" applyBorder="1" applyAlignment="1">
      <alignment horizontal="right" vertical="center"/>
    </xf>
    <xf numFmtId="164" fontId="8" fillId="5" borderId="1" xfId="0" applyNumberFormat="1" applyFont="1" applyFill="1" applyBorder="1" applyAlignment="1">
      <alignment horizontal="right" vertical="center"/>
    </xf>
    <xf numFmtId="164" fontId="28" fillId="3" borderId="1" xfId="0" applyNumberFormat="1" applyFont="1" applyFill="1" applyBorder="1" applyAlignment="1">
      <alignment horizontal="right" vertical="center"/>
    </xf>
    <xf numFmtId="168" fontId="23" fillId="3" borderId="1" xfId="0" applyNumberFormat="1" applyFont="1" applyFill="1" applyBorder="1" applyAlignment="1">
      <alignment horizontal="right" vertical="center"/>
    </xf>
    <xf numFmtId="168" fontId="8" fillId="5" borderId="1" xfId="0" applyNumberFormat="1" applyFont="1" applyFill="1" applyBorder="1" applyAlignment="1">
      <alignment horizontal="right" vertical="center"/>
    </xf>
    <xf numFmtId="168" fontId="28" fillId="3" borderId="1" xfId="0" applyNumberFormat="1" applyFont="1" applyFill="1" applyBorder="1" applyAlignment="1">
      <alignment horizontal="right" vertical="center"/>
    </xf>
    <xf numFmtId="0" fontId="15" fillId="6" borderId="0" xfId="0" applyFont="1" applyFill="1" applyAlignment="1">
      <alignment horizontal="center" vertical="center"/>
    </xf>
    <xf numFmtId="164" fontId="30" fillId="6" borderId="0" xfId="0" applyNumberFormat="1" applyFont="1" applyFill="1" applyAlignment="1">
      <alignment horizontal="right" vertical="center"/>
    </xf>
    <xf numFmtId="164" fontId="31" fillId="6" borderId="0" xfId="0" applyNumberFormat="1" applyFont="1" applyFill="1" applyAlignment="1">
      <alignment horizontal="right" vertical="center"/>
    </xf>
    <xf numFmtId="164" fontId="4" fillId="6" borderId="0" xfId="0" applyNumberFormat="1" applyFont="1" applyFill="1" applyAlignment="1">
      <alignment horizontal="right" vertical="center"/>
    </xf>
    <xf numFmtId="0" fontId="15" fillId="5" borderId="0" xfId="0" applyFont="1" applyFill="1" applyAlignment="1">
      <alignment horizontal="center" vertical="center"/>
    </xf>
    <xf numFmtId="164" fontId="30" fillId="5" borderId="0" xfId="0" applyNumberFormat="1" applyFont="1" applyFill="1" applyAlignment="1">
      <alignment horizontal="right" vertical="center"/>
    </xf>
    <xf numFmtId="164" fontId="31" fillId="5" borderId="0" xfId="0" applyNumberFormat="1" applyFont="1" applyFill="1" applyAlignment="1">
      <alignment horizontal="right" vertical="center"/>
    </xf>
    <xf numFmtId="164" fontId="4" fillId="5" borderId="0" xfId="0" applyNumberFormat="1" applyFont="1" applyFill="1" applyAlignment="1">
      <alignment horizontal="right" vertical="center"/>
    </xf>
    <xf numFmtId="164" fontId="32" fillId="5" borderId="0" xfId="0" applyNumberFormat="1" applyFont="1" applyFill="1" applyAlignment="1">
      <alignment horizontal="right" vertical="center"/>
    </xf>
    <xf numFmtId="17" fontId="12" fillId="7" borderId="1" xfId="0" applyNumberFormat="1" applyFont="1" applyFill="1" applyBorder="1" applyAlignment="1">
      <alignment horizontal="center" vertical="center"/>
    </xf>
    <xf numFmtId="169" fontId="20" fillId="2" borderId="6" xfId="0" applyNumberFormat="1" applyFont="1" applyFill="1" applyBorder="1" applyAlignment="1">
      <alignment horizontal="right" vertical="center"/>
    </xf>
    <xf numFmtId="169" fontId="19" fillId="4" borderId="5" xfId="0" applyNumberFormat="1" applyFont="1" applyFill="1" applyBorder="1" applyAlignment="1">
      <alignment horizontal="right" vertical="center"/>
    </xf>
    <xf numFmtId="169" fontId="19" fillId="3" borderId="4" xfId="0" applyNumberFormat="1" applyFont="1" applyFill="1" applyBorder="1" applyAlignment="1">
      <alignment horizontal="right" vertical="center"/>
    </xf>
    <xf numFmtId="0" fontId="36" fillId="0" borderId="4" xfId="0" applyFont="1" applyBorder="1" applyAlignment="1">
      <alignment horizontal="left" vertical="center"/>
    </xf>
    <xf numFmtId="0" fontId="0" fillId="10" borderId="0" xfId="0" applyFill="1"/>
    <xf numFmtId="0" fontId="0" fillId="11" borderId="0" xfId="0" applyFill="1"/>
    <xf numFmtId="0" fontId="38" fillId="11" borderId="5" xfId="0" applyFont="1" applyFill="1" applyBorder="1" applyAlignment="1">
      <alignment horizontal="left" vertical="center"/>
    </xf>
    <xf numFmtId="165" fontId="7" fillId="11" borderId="5" xfId="0" applyNumberFormat="1" applyFont="1" applyFill="1" applyBorder="1" applyAlignment="1">
      <alignment horizontal="right" vertical="center"/>
    </xf>
    <xf numFmtId="169" fontId="19" fillId="11" borderId="5" xfId="0" applyNumberFormat="1" applyFont="1" applyFill="1" applyBorder="1" applyAlignment="1">
      <alignment horizontal="right" vertical="center"/>
    </xf>
    <xf numFmtId="0" fontId="7" fillId="11" borderId="5" xfId="0" applyFont="1" applyFill="1" applyBorder="1" applyAlignment="1">
      <alignment horizontal="left" vertical="center"/>
    </xf>
    <xf numFmtId="0" fontId="20" fillId="12" borderId="6" xfId="0" applyFont="1" applyFill="1" applyBorder="1" applyAlignment="1">
      <alignment horizontal="left" vertical="center"/>
    </xf>
    <xf numFmtId="165" fontId="20" fillId="12" borderId="6" xfId="0" applyNumberFormat="1" applyFont="1" applyFill="1" applyBorder="1" applyAlignment="1">
      <alignment horizontal="right" vertical="center"/>
    </xf>
    <xf numFmtId="169" fontId="20" fillId="12" borderId="6" xfId="0" applyNumberFormat="1" applyFont="1" applyFill="1" applyBorder="1" applyAlignment="1">
      <alignment horizontal="right" vertical="center"/>
    </xf>
    <xf numFmtId="0" fontId="36" fillId="6" borderId="4" xfId="0" applyFont="1" applyFill="1" applyBorder="1" applyAlignment="1">
      <alignment horizontal="left" vertical="center"/>
    </xf>
    <xf numFmtId="169" fontId="7" fillId="4" borderId="5" xfId="0" applyNumberFormat="1" applyFont="1" applyFill="1" applyBorder="1" applyAlignment="1">
      <alignment horizontal="right" vertical="center"/>
    </xf>
    <xf numFmtId="169" fontId="20" fillId="2" borderId="7" xfId="0" applyNumberFormat="1" applyFont="1" applyFill="1" applyBorder="1" applyAlignment="1">
      <alignment horizontal="right" vertical="center"/>
    </xf>
    <xf numFmtId="169" fontId="14" fillId="9" borderId="8" xfId="1" applyNumberFormat="1" applyFont="1" applyFill="1" applyBorder="1" applyAlignment="1">
      <alignment horizontal="right" vertical="center"/>
    </xf>
    <xf numFmtId="169" fontId="26" fillId="2" borderId="6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center" vertical="center"/>
    </xf>
    <xf numFmtId="164" fontId="33" fillId="3" borderId="1" xfId="0" applyNumberFormat="1" applyFont="1" applyFill="1" applyBorder="1" applyAlignment="1">
      <alignment horizontal="center" vertical="center"/>
    </xf>
    <xf numFmtId="164" fontId="34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top"/>
    </xf>
    <xf numFmtId="0" fontId="9" fillId="6" borderId="2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4" fillId="8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7" fillId="11" borderId="0" xfId="0" applyFont="1" applyFill="1" applyAlignment="1">
      <alignment horizontal="left" vertical="center"/>
    </xf>
    <xf numFmtId="0" fontId="35" fillId="11" borderId="0" xfId="0" applyFont="1" applyFill="1" applyAlignment="1">
      <alignment horizontal="center" vertical="center"/>
    </xf>
    <xf numFmtId="0" fontId="10" fillId="11" borderId="0" xfId="0" applyFont="1" applyFill="1" applyAlignment="1">
      <alignment horizontal="center" vertical="center"/>
    </xf>
    <xf numFmtId="0" fontId="38" fillId="11" borderId="0" xfId="0" applyFont="1" applyFill="1" applyAlignment="1">
      <alignment horizontal="left" vertical="center"/>
    </xf>
    <xf numFmtId="0" fontId="35" fillId="2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25" fillId="3" borderId="2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0" fontId="37" fillId="4" borderId="0" xfId="0" applyFont="1" applyFill="1" applyAlignment="1">
      <alignment horizontal="center" vertical="center"/>
    </xf>
    <xf numFmtId="0" fontId="35" fillId="10" borderId="0" xfId="0" applyFont="1" applyFill="1" applyAlignment="1">
      <alignment horizontal="center" vertical="center"/>
    </xf>
    <xf numFmtId="0" fontId="10" fillId="10" borderId="0" xfId="0" applyFont="1" applyFill="1" applyAlignment="1">
      <alignment horizontal="center" vertical="center"/>
    </xf>
    <xf numFmtId="0" fontId="29" fillId="5" borderId="9" xfId="0" applyFont="1" applyFill="1" applyBorder="1" applyAlignment="1">
      <alignment horizontal="center" vertical="center"/>
    </xf>
    <xf numFmtId="169" fontId="0" fillId="0" borderId="0" xfId="0" applyNumberFormat="1"/>
    <xf numFmtId="169" fontId="14" fillId="2" borderId="6" xfId="0" applyNumberFormat="1" applyFont="1" applyFill="1" applyBorder="1" applyAlignment="1">
      <alignment horizontal="right" vertical="center"/>
    </xf>
  </cellXfs>
  <cellStyles count="2">
    <cellStyle name="Moneda" xfId="1" builtinId="4"/>
    <cellStyle name="Normal" xfId="0" builtinId="0"/>
  </cellStyles>
  <dxfs count="21">
    <dxf>
      <font>
        <b/>
        <sz val="10"/>
        <color rgb="FF993C1D"/>
        <name val="Arial"/>
        <charset val="1"/>
      </font>
      <fill>
        <patternFill>
          <bgColor rgb="FFFAECE7"/>
        </patternFill>
      </fill>
    </dxf>
    <dxf>
      <font>
        <b/>
        <sz val="10"/>
        <color rgb="FFBA7517"/>
        <name val="Arial"/>
        <charset val="1"/>
      </font>
      <fill>
        <patternFill>
          <bgColor rgb="FFFAEEDA"/>
        </patternFill>
      </fill>
    </dxf>
    <dxf>
      <font>
        <b/>
        <sz val="10"/>
        <color rgb="FF0F6E56"/>
        <name val="Arial"/>
        <charset val="1"/>
      </font>
      <fill>
        <patternFill>
          <bgColor rgb="FFE1F5EE"/>
        </patternFill>
      </fill>
    </dxf>
    <dxf>
      <font>
        <b/>
        <sz val="10"/>
        <color rgb="FF993C1D"/>
        <name val="Arial"/>
        <charset val="1"/>
      </font>
      <fill>
        <patternFill>
          <bgColor rgb="FFFAECE7"/>
        </patternFill>
      </fill>
    </dxf>
    <dxf>
      <font>
        <b/>
        <sz val="10"/>
        <color rgb="FFBA7517"/>
        <name val="Arial"/>
        <charset val="1"/>
      </font>
      <fill>
        <patternFill>
          <bgColor rgb="FFFAEEDA"/>
        </patternFill>
      </fill>
    </dxf>
    <dxf>
      <font>
        <b/>
        <sz val="10"/>
        <color rgb="FF0F6E56"/>
        <name val="Arial"/>
        <charset val="1"/>
      </font>
      <fill>
        <patternFill>
          <bgColor rgb="FFE1F5EE"/>
        </patternFill>
      </fill>
    </dxf>
    <dxf>
      <font>
        <b/>
        <sz val="10"/>
        <color rgb="FF993C1D"/>
        <name val="Arial"/>
        <charset val="1"/>
      </font>
      <fill>
        <patternFill>
          <bgColor rgb="FFFAECE7"/>
        </patternFill>
      </fill>
    </dxf>
    <dxf>
      <font>
        <b/>
        <sz val="10"/>
        <color rgb="FFBA7517"/>
        <name val="Arial"/>
        <charset val="1"/>
      </font>
      <fill>
        <patternFill>
          <bgColor rgb="FFFAEEDA"/>
        </patternFill>
      </fill>
    </dxf>
    <dxf>
      <font>
        <b/>
        <sz val="10"/>
        <color rgb="FF0F6E56"/>
        <name val="Arial"/>
        <charset val="1"/>
      </font>
      <fill>
        <patternFill>
          <bgColor rgb="FFE1F5EE"/>
        </patternFill>
      </fill>
    </dxf>
    <dxf>
      <font>
        <b/>
        <sz val="10"/>
        <color rgb="FF993C1D"/>
        <name val="Arial"/>
        <charset val="1"/>
      </font>
      <fill>
        <patternFill>
          <bgColor rgb="FFFAECE7"/>
        </patternFill>
      </fill>
    </dxf>
    <dxf>
      <font>
        <b/>
        <sz val="10"/>
        <color rgb="FFBA7517"/>
        <name val="Arial"/>
        <charset val="1"/>
      </font>
      <fill>
        <patternFill>
          <bgColor rgb="FFFAEEDA"/>
        </patternFill>
      </fill>
    </dxf>
    <dxf>
      <font>
        <b/>
        <sz val="10"/>
        <color rgb="FF0F6E56"/>
        <name val="Arial"/>
        <charset val="1"/>
      </font>
      <fill>
        <patternFill>
          <bgColor rgb="FFE1F5EE"/>
        </patternFill>
      </fill>
    </dxf>
    <dxf>
      <font>
        <b/>
        <sz val="10"/>
        <color rgb="FF993C1D"/>
        <name val="Arial"/>
        <charset val="1"/>
      </font>
      <fill>
        <patternFill>
          <bgColor rgb="FFFAECE7"/>
        </patternFill>
      </fill>
    </dxf>
    <dxf>
      <font>
        <b/>
        <sz val="10"/>
        <color rgb="FFBA7517"/>
        <name val="Arial"/>
        <charset val="1"/>
      </font>
      <fill>
        <patternFill>
          <bgColor rgb="FFFAEEDA"/>
        </patternFill>
      </fill>
    </dxf>
    <dxf>
      <font>
        <b/>
        <sz val="10"/>
        <color rgb="FF0F6E56"/>
        <name val="Arial"/>
        <charset val="1"/>
      </font>
      <fill>
        <patternFill>
          <bgColor rgb="FFE1F5EE"/>
        </patternFill>
      </fill>
    </dxf>
    <dxf>
      <font>
        <sz val="10"/>
        <color rgb="FF0F6E56"/>
        <name val="Arial"/>
        <charset val="1"/>
      </font>
      <fill>
        <patternFill>
          <bgColor rgb="FFE1F5EE"/>
        </patternFill>
      </fill>
    </dxf>
    <dxf>
      <font>
        <sz val="10"/>
        <color rgb="FFBA7517"/>
        <name val="Arial"/>
        <charset val="1"/>
      </font>
      <fill>
        <patternFill>
          <bgColor rgb="FFFAEEDA"/>
        </patternFill>
      </fill>
    </dxf>
    <dxf>
      <font>
        <sz val="10"/>
        <color rgb="FF993C1D"/>
        <name val="Arial"/>
        <charset val="1"/>
      </font>
      <fill>
        <patternFill>
          <bgColor rgb="FFFAECE7"/>
        </patternFill>
      </fill>
    </dxf>
    <dxf>
      <font>
        <b/>
        <sz val="12"/>
        <color rgb="FFFFFFFF"/>
        <name val="Arial"/>
        <charset val="1"/>
      </font>
      <fill>
        <patternFill>
          <bgColor rgb="FF0F6E56"/>
        </patternFill>
      </fill>
    </dxf>
    <dxf>
      <font>
        <b/>
        <sz val="12"/>
        <color rgb="FFFFFFFF"/>
        <name val="Arial"/>
        <charset val="1"/>
      </font>
      <fill>
        <patternFill>
          <bgColor rgb="FF8B5500"/>
        </patternFill>
      </fill>
    </dxf>
    <dxf>
      <font>
        <b/>
        <sz val="12"/>
        <color rgb="FFFFFFFF"/>
        <name val="Arial"/>
        <charset val="1"/>
      </font>
      <fill>
        <patternFill>
          <bgColor rgb="FF993C1D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B5500"/>
      <rgbColor rgb="FF800080"/>
      <rgbColor rgb="FF0F6E56"/>
      <rgbColor rgb="FFD3D1C7"/>
      <rgbColor rgb="FF7F77DD"/>
      <rgbColor rgb="FF9999FF"/>
      <rgbColor rgb="FF993366"/>
      <rgbColor rgb="FFFAEEDA"/>
      <rgbColor rgb="FFE1F5EE"/>
      <rgbColor rgb="FF660066"/>
      <rgbColor rgb="FFFF8080"/>
      <rgbColor rgb="FF185FA5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1EFE8"/>
      <rgbColor rgb="FFCCFFCC"/>
      <rgbColor rgb="FFFAECE7"/>
      <rgbColor rgb="FF99CCFF"/>
      <rgbColor rgb="FFFF99CC"/>
      <rgbColor rgb="FFCC99FF"/>
      <rgbColor rgb="FFFFCC99"/>
      <rgbColor rgb="FF3366FF"/>
      <rgbColor rgb="FF5DCAA5"/>
      <rgbColor rgb="FF99CC00"/>
      <rgbColor rgb="FFFFCC00"/>
      <rgbColor rgb="FFFF9900"/>
      <rgbColor rgb="FFBA7517"/>
      <rgbColor rgb="FF5F5E5A"/>
      <rgbColor rgb="FF969696"/>
      <rgbColor rgb="FF003366"/>
      <rgbColor rgb="FF1D9E75"/>
      <rgbColor rgb="FF003300"/>
      <rgbColor rgb="FF333300"/>
      <rgbColor rgb="FF993C1D"/>
      <rgbColor rgb="FF993366"/>
      <rgbColor rgb="FF333399"/>
      <rgbColor rgb="FF2C2C2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88A3EACF-43BC-4A47-A5E4-8381F094E134}">
  <we:reference id="wa200009404" version="1.0.0.8" store="en-US" storeType="OMEX"/>
  <we:alternateReferences>
    <we:reference id="wa200009404" version="1.0.0.8" store="en-US" storeType="OMEX"/>
  </we:alternateReferences>
  <we:properties>
    <we:property name="claude.fileId" value="&quot;326a3dd8-c1bc-4cdd-812f-e8546ad6d30b&quot;"/>
  </we:properties>
  <we:bindings/>
  <we:snapshot xmlns:r="http://schemas.openxmlformats.org/officeDocument/2006/relationships"/>
</we:webextension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F6E56"/>
  </sheetPr>
  <dimension ref="A1:G18"/>
  <sheetViews>
    <sheetView showGridLines="0" topLeftCell="A9" zoomScale="120" zoomScaleNormal="120" workbookViewId="0">
      <selection activeCell="F6" sqref="F6:G6"/>
    </sheetView>
  </sheetViews>
  <sheetFormatPr baseColWidth="10" defaultColWidth="8.6640625" defaultRowHeight="15" x14ac:dyDescent="0.2"/>
  <cols>
    <col min="1" max="1" width="3" customWidth="1"/>
    <col min="2" max="2" width="22" customWidth="1"/>
    <col min="3" max="3" width="20" customWidth="1"/>
    <col min="4" max="6" width="18" customWidth="1"/>
    <col min="7" max="7" width="3" customWidth="1"/>
  </cols>
  <sheetData>
    <row r="1" spans="1:7" ht="7.5" customHeight="1" x14ac:dyDescent="0.2">
      <c r="A1" s="1"/>
      <c r="B1" s="1"/>
      <c r="C1" s="1"/>
      <c r="D1" s="1"/>
      <c r="E1" s="1"/>
      <c r="F1" s="1"/>
      <c r="G1" s="1"/>
    </row>
    <row r="2" spans="1:7" ht="49.5" customHeight="1" x14ac:dyDescent="0.2">
      <c r="A2" s="1"/>
      <c r="B2" s="69" t="s">
        <v>0</v>
      </c>
      <c r="C2" s="69"/>
      <c r="D2" s="69"/>
      <c r="E2" s="69"/>
      <c r="F2" s="69"/>
      <c r="G2" s="1"/>
    </row>
    <row r="3" spans="1:7" ht="15" customHeight="1" x14ac:dyDescent="0.2">
      <c r="A3" s="1"/>
      <c r="B3" s="70" t="s">
        <v>1</v>
      </c>
      <c r="C3" s="70"/>
      <c r="D3" s="70"/>
      <c r="E3" s="70"/>
      <c r="F3" s="70"/>
      <c r="G3" s="1"/>
    </row>
    <row r="4" spans="1:7" ht="34.5" customHeight="1" x14ac:dyDescent="0.2">
      <c r="B4" s="71" t="s">
        <v>2</v>
      </c>
      <c r="C4" s="71"/>
      <c r="D4" s="71"/>
      <c r="E4" s="71"/>
      <c r="F4" s="71"/>
    </row>
    <row r="5" spans="1:7" ht="34.5" customHeight="1" x14ac:dyDescent="0.2">
      <c r="B5" s="72" t="s">
        <v>3</v>
      </c>
      <c r="C5" s="72"/>
      <c r="D5" s="72" t="s">
        <v>4</v>
      </c>
      <c r="E5" s="72"/>
      <c r="F5" s="72" t="s">
        <v>5</v>
      </c>
      <c r="G5" s="72"/>
    </row>
    <row r="6" spans="1:7" ht="34.5" customHeight="1" x14ac:dyDescent="0.2">
      <c r="B6" s="73">
        <f>'💰 Ingresos'!C31</f>
        <v>0</v>
      </c>
      <c r="C6" s="73"/>
      <c r="D6" s="74">
        <f>'💸 Gastos'!C59</f>
        <v>0</v>
      </c>
      <c r="E6" s="74"/>
      <c r="F6" s="75">
        <f>'⚡ Flujo de Caja'!C8</f>
        <v>0</v>
      </c>
      <c r="G6" s="75"/>
    </row>
    <row r="7" spans="1:7" ht="34.5" customHeight="1" x14ac:dyDescent="0.2">
      <c r="B7" s="76" t="s">
        <v>6</v>
      </c>
      <c r="C7" s="76"/>
      <c r="D7" s="76" t="s">
        <v>6</v>
      </c>
      <c r="E7" s="76"/>
      <c r="F7" s="76" t="s">
        <v>7</v>
      </c>
      <c r="G7" s="76"/>
    </row>
    <row r="8" spans="1:7" ht="9.75" customHeight="1" x14ac:dyDescent="0.2"/>
    <row r="9" spans="1:7" ht="30" customHeight="1" x14ac:dyDescent="0.2">
      <c r="B9" s="72" t="s">
        <v>8</v>
      </c>
      <c r="C9" s="72"/>
      <c r="D9" s="72" t="s">
        <v>9</v>
      </c>
      <c r="E9" s="72"/>
      <c r="F9" s="72" t="s">
        <v>10</v>
      </c>
      <c r="G9" s="72"/>
    </row>
    <row r="10" spans="1:7" ht="30" customHeight="1" x14ac:dyDescent="0.2">
      <c r="B10" s="73">
        <f>'📊 Patrimonio'!C30</f>
        <v>0</v>
      </c>
      <c r="C10" s="73"/>
      <c r="D10" s="73">
        <f>'📊 Patrimonio'!C44</f>
        <v>0</v>
      </c>
      <c r="E10" s="73"/>
      <c r="F10" s="73">
        <f>'📊 Patrimonio'!C46</f>
        <v>0</v>
      </c>
      <c r="G10" s="73"/>
    </row>
    <row r="11" spans="1:7" ht="30" customHeight="1" x14ac:dyDescent="0.2">
      <c r="B11" s="76" t="s">
        <v>11</v>
      </c>
      <c r="C11" s="76"/>
      <c r="D11" s="76" t="s">
        <v>12</v>
      </c>
      <c r="E11" s="76"/>
      <c r="F11" s="76" t="s">
        <v>13</v>
      </c>
      <c r="G11" s="76"/>
    </row>
    <row r="12" spans="1:7" ht="30" customHeight="1" x14ac:dyDescent="0.2"/>
    <row r="13" spans="1:7" ht="16" customHeight="1" x14ac:dyDescent="0.2">
      <c r="B13" s="78" t="s">
        <v>14</v>
      </c>
      <c r="C13" s="78"/>
      <c r="D13" s="78"/>
      <c r="E13" s="78"/>
      <c r="F13" s="78"/>
    </row>
    <row r="14" spans="1:7" ht="27.75" customHeight="1" x14ac:dyDescent="0.2">
      <c r="B14" s="2" t="s">
        <v>15</v>
      </c>
      <c r="C14" s="77" t="s">
        <v>16</v>
      </c>
      <c r="D14" s="77"/>
      <c r="E14" s="77"/>
      <c r="F14" s="77"/>
    </row>
    <row r="15" spans="1:7" ht="27.75" customHeight="1" x14ac:dyDescent="0.2">
      <c r="B15" s="2" t="s">
        <v>17</v>
      </c>
      <c r="C15" s="77" t="s">
        <v>18</v>
      </c>
      <c r="D15" s="77"/>
      <c r="E15" s="77"/>
      <c r="F15" s="77"/>
    </row>
    <row r="16" spans="1:7" ht="27.75" customHeight="1" x14ac:dyDescent="0.2">
      <c r="B16" s="2" t="s">
        <v>19</v>
      </c>
      <c r="C16" s="77" t="s">
        <v>20</v>
      </c>
      <c r="D16" s="77"/>
      <c r="E16" s="77"/>
      <c r="F16" s="77"/>
    </row>
    <row r="17" spans="2:6" ht="27.75" customHeight="1" x14ac:dyDescent="0.2">
      <c r="B17" s="2" t="s">
        <v>21</v>
      </c>
      <c r="C17" s="77" t="s">
        <v>22</v>
      </c>
      <c r="D17" s="77"/>
      <c r="E17" s="77"/>
      <c r="F17" s="77"/>
    </row>
    <row r="18" spans="2:6" ht="7.5" customHeight="1" x14ac:dyDescent="0.2"/>
  </sheetData>
  <mergeCells count="26">
    <mergeCell ref="C15:F15"/>
    <mergeCell ref="C16:F16"/>
    <mergeCell ref="C17:F17"/>
    <mergeCell ref="B11:C11"/>
    <mergeCell ref="D11:E11"/>
    <mergeCell ref="F11:G11"/>
    <mergeCell ref="B13:F13"/>
    <mergeCell ref="C14:F14"/>
    <mergeCell ref="B9:C9"/>
    <mergeCell ref="D9:E9"/>
    <mergeCell ref="F9:G9"/>
    <mergeCell ref="B10:C10"/>
    <mergeCell ref="D10:E10"/>
    <mergeCell ref="F10:G10"/>
    <mergeCell ref="B6:C6"/>
    <mergeCell ref="D6:E6"/>
    <mergeCell ref="F6:G6"/>
    <mergeCell ref="B7:C7"/>
    <mergeCell ref="D7:E7"/>
    <mergeCell ref="F7:G7"/>
    <mergeCell ref="B2:F2"/>
    <mergeCell ref="B3:F3"/>
    <mergeCell ref="B4:F4"/>
    <mergeCell ref="B5:C5"/>
    <mergeCell ref="D5:E5"/>
    <mergeCell ref="F5:G5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5F5E5A"/>
  </sheetPr>
  <dimension ref="A1:E15"/>
  <sheetViews>
    <sheetView showGridLines="0" zoomScaleNormal="100" workbookViewId="0">
      <selection activeCell="D18" sqref="D18"/>
    </sheetView>
  </sheetViews>
  <sheetFormatPr baseColWidth="10" defaultColWidth="8.6640625" defaultRowHeight="15" x14ac:dyDescent="0.2"/>
  <cols>
    <col min="1" max="1" width="3" customWidth="1"/>
    <col min="2" max="2" width="28" customWidth="1"/>
    <col min="3" max="3" width="18" customWidth="1"/>
    <col min="4" max="4" width="28" customWidth="1"/>
    <col min="5" max="5" width="3" customWidth="1"/>
  </cols>
  <sheetData>
    <row r="1" spans="1:5" ht="7.5" customHeight="1" x14ac:dyDescent="0.2">
      <c r="A1" s="1"/>
      <c r="B1" s="1"/>
      <c r="C1" s="1"/>
      <c r="D1" s="1"/>
      <c r="E1" s="1"/>
    </row>
    <row r="2" spans="1:5" ht="39.75" customHeight="1" x14ac:dyDescent="0.2">
      <c r="A2" s="1"/>
      <c r="B2" s="80" t="s">
        <v>23</v>
      </c>
      <c r="C2" s="80"/>
      <c r="D2" s="80"/>
      <c r="E2" s="1"/>
    </row>
    <row r="3" spans="1:5" ht="7.5" customHeight="1" x14ac:dyDescent="0.2">
      <c r="A3" s="1"/>
      <c r="B3" s="1"/>
      <c r="C3" s="1"/>
      <c r="D3" s="1"/>
      <c r="E3" s="1"/>
    </row>
    <row r="4" spans="1:5" ht="18" customHeight="1" x14ac:dyDescent="0.2">
      <c r="A4" s="3"/>
      <c r="B4" s="3" t="s">
        <v>24</v>
      </c>
      <c r="C4" s="3" t="s">
        <v>25</v>
      </c>
      <c r="D4" s="3" t="s">
        <v>26</v>
      </c>
    </row>
    <row r="5" spans="1:5" ht="19.5" customHeight="1" x14ac:dyDescent="0.2">
      <c r="B5" s="4" t="s">
        <v>27</v>
      </c>
      <c r="C5" s="5" t="s">
        <v>205</v>
      </c>
      <c r="D5" s="6" t="s">
        <v>28</v>
      </c>
    </row>
    <row r="6" spans="1:5" ht="19.5" customHeight="1" x14ac:dyDescent="0.2">
      <c r="B6" s="4" t="s">
        <v>29</v>
      </c>
      <c r="C6" s="50">
        <v>46143</v>
      </c>
      <c r="D6" s="6" t="s">
        <v>30</v>
      </c>
    </row>
    <row r="7" spans="1:5" ht="19.5" customHeight="1" x14ac:dyDescent="0.2">
      <c r="B7" s="4" t="s">
        <v>31</v>
      </c>
      <c r="C7" s="5">
        <v>1430</v>
      </c>
      <c r="D7" s="6" t="s">
        <v>32</v>
      </c>
    </row>
    <row r="8" spans="1:5" ht="19.5" customHeight="1" x14ac:dyDescent="0.2">
      <c r="B8" s="4" t="s">
        <v>33</v>
      </c>
      <c r="C8" s="7">
        <v>0.15</v>
      </c>
      <c r="D8" s="6" t="s">
        <v>34</v>
      </c>
    </row>
    <row r="9" spans="1:5" ht="19.5" customHeight="1" x14ac:dyDescent="0.2">
      <c r="B9" s="4" t="s">
        <v>35</v>
      </c>
      <c r="C9" s="5" t="s">
        <v>36</v>
      </c>
      <c r="D9" s="6" t="s">
        <v>37</v>
      </c>
    </row>
    <row r="11" spans="1:5" ht="21.75" customHeight="1" x14ac:dyDescent="0.2">
      <c r="B11" s="81" t="s">
        <v>38</v>
      </c>
      <c r="C11" s="81"/>
      <c r="D11" s="81"/>
    </row>
    <row r="12" spans="1:5" ht="19.5" customHeight="1" x14ac:dyDescent="0.2">
      <c r="B12" s="8" t="s">
        <v>39</v>
      </c>
      <c r="C12" s="79" t="s">
        <v>40</v>
      </c>
      <c r="D12" s="79"/>
    </row>
    <row r="13" spans="1:5" ht="19.5" customHeight="1" x14ac:dyDescent="0.2">
      <c r="B13" s="9" t="s">
        <v>39</v>
      </c>
      <c r="C13" s="79" t="s">
        <v>41</v>
      </c>
      <c r="D13" s="79"/>
    </row>
    <row r="14" spans="1:5" ht="19.5" customHeight="1" x14ac:dyDescent="0.2">
      <c r="B14" s="10" t="s">
        <v>39</v>
      </c>
      <c r="C14" s="79" t="s">
        <v>42</v>
      </c>
      <c r="D14" s="79"/>
    </row>
    <row r="15" spans="1:5" ht="19.5" customHeight="1" x14ac:dyDescent="0.2">
      <c r="B15" s="11" t="s">
        <v>39</v>
      </c>
      <c r="C15" s="79" t="s">
        <v>43</v>
      </c>
      <c r="D15" s="79"/>
    </row>
  </sheetData>
  <mergeCells count="6">
    <mergeCell ref="C15:D15"/>
    <mergeCell ref="B2:D2"/>
    <mergeCell ref="B11:D11"/>
    <mergeCell ref="C12:D12"/>
    <mergeCell ref="C13:D13"/>
    <mergeCell ref="C14:D14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1D9E75"/>
  </sheetPr>
  <dimension ref="A1:F33"/>
  <sheetViews>
    <sheetView showGridLines="0" zoomScaleNormal="100" workbookViewId="0">
      <pane xSplit="2" ySplit="4" topLeftCell="C10" activePane="bottomRight" state="frozen"/>
      <selection pane="topRight" activeCell="C1" sqref="C1"/>
      <selection pane="bottomLeft" activeCell="A5" sqref="A5"/>
      <selection pane="bottomRight" activeCell="C39" sqref="C39"/>
    </sheetView>
  </sheetViews>
  <sheetFormatPr baseColWidth="10" defaultColWidth="8.6640625" defaultRowHeight="15" x14ac:dyDescent="0.2"/>
  <cols>
    <col min="1" max="1" width="3" customWidth="1"/>
    <col min="2" max="2" width="46" customWidth="1"/>
    <col min="3" max="3" width="18" customWidth="1"/>
    <col min="4" max="4" width="23.5" customWidth="1"/>
    <col min="5" max="5" width="24" customWidth="1"/>
    <col min="6" max="6" width="3" customWidth="1"/>
  </cols>
  <sheetData>
    <row r="1" spans="1:6" ht="15" customHeight="1" x14ac:dyDescent="0.2">
      <c r="A1" s="1"/>
      <c r="B1" s="1"/>
      <c r="C1" s="1"/>
      <c r="D1" s="1"/>
      <c r="E1" s="1"/>
      <c r="F1" s="1"/>
    </row>
    <row r="2" spans="1:6" ht="39.75" customHeight="1" x14ac:dyDescent="0.2">
      <c r="A2" s="1"/>
      <c r="B2" s="80" t="s">
        <v>44</v>
      </c>
      <c r="C2" s="80"/>
      <c r="D2" s="80"/>
      <c r="E2" s="80"/>
      <c r="F2" s="1"/>
    </row>
    <row r="3" spans="1:6" ht="15" customHeight="1" x14ac:dyDescent="0.2">
      <c r="A3" s="1"/>
      <c r="B3" s="1"/>
      <c r="C3" s="1"/>
      <c r="D3" s="1"/>
      <c r="E3" s="1"/>
      <c r="F3" s="1"/>
    </row>
    <row r="4" spans="1:6" ht="18" customHeight="1" x14ac:dyDescent="0.2">
      <c r="A4" s="3"/>
      <c r="B4" s="3" t="s">
        <v>45</v>
      </c>
      <c r="C4" s="3" t="s">
        <v>46</v>
      </c>
      <c r="D4" s="3" t="s">
        <v>47</v>
      </c>
      <c r="E4" s="3" t="s">
        <v>48</v>
      </c>
    </row>
    <row r="5" spans="1:6" ht="19.5" customHeight="1" x14ac:dyDescent="0.2">
      <c r="B5" s="82" t="s">
        <v>49</v>
      </c>
      <c r="C5" s="82"/>
      <c r="D5" s="82"/>
      <c r="E5" s="82"/>
    </row>
    <row r="6" spans="1:6" ht="18" customHeight="1" x14ac:dyDescent="0.2">
      <c r="B6" s="12" t="s">
        <v>50</v>
      </c>
      <c r="C6" s="13">
        <v>0</v>
      </c>
      <c r="D6" s="53">
        <f>IF(C6=0,0,C6/'⚙ Config'!$C$7)</f>
        <v>0</v>
      </c>
    </row>
    <row r="7" spans="1:6" ht="18" customHeight="1" x14ac:dyDescent="0.2">
      <c r="B7" s="12" t="s">
        <v>51</v>
      </c>
      <c r="C7" s="13">
        <v>0</v>
      </c>
      <c r="D7" s="53">
        <f>IF(C7=0,0,C7/'⚙ Config'!$C$7)</f>
        <v>0</v>
      </c>
    </row>
    <row r="8" spans="1:6" ht="18" customHeight="1" x14ac:dyDescent="0.2">
      <c r="B8" s="12" t="s">
        <v>52</v>
      </c>
      <c r="C8" s="13">
        <v>0</v>
      </c>
      <c r="D8" s="53">
        <f>IF(C8=0,0,C8/'⚙ Config'!$C$7)</f>
        <v>0</v>
      </c>
    </row>
    <row r="9" spans="1:6" ht="18" customHeight="1" x14ac:dyDescent="0.2">
      <c r="B9" s="12" t="s">
        <v>53</v>
      </c>
      <c r="C9" s="13">
        <v>0</v>
      </c>
      <c r="D9" s="53">
        <f>IF(C9=0,0,C9/'⚙ Config'!$C$7)</f>
        <v>0</v>
      </c>
    </row>
    <row r="10" spans="1:6" ht="18" customHeight="1" x14ac:dyDescent="0.2">
      <c r="B10" s="12" t="s">
        <v>54</v>
      </c>
      <c r="C10" s="13">
        <v>0</v>
      </c>
      <c r="D10" s="53">
        <f>IF(C10=0,0,C10/'⚙ Config'!$C$7)</f>
        <v>0</v>
      </c>
    </row>
    <row r="11" spans="1:6" ht="18" customHeight="1" x14ac:dyDescent="0.2">
      <c r="B11" s="12" t="s">
        <v>55</v>
      </c>
      <c r="C11" s="13">
        <v>0</v>
      </c>
      <c r="D11" s="53">
        <f>IF(C11=0,0,C11/'⚙ Config'!$C$7)</f>
        <v>0</v>
      </c>
    </row>
    <row r="12" spans="1:6" ht="21.75" customHeight="1" x14ac:dyDescent="0.2">
      <c r="B12" s="14" t="s">
        <v>56</v>
      </c>
      <c r="C12" s="15">
        <f>SUM(C6:C11)</f>
        <v>0</v>
      </c>
      <c r="D12" s="52">
        <f>C12/'⚙ Config'!$C$7</f>
        <v>0</v>
      </c>
    </row>
    <row r="13" spans="1:6" ht="7.5" customHeight="1" x14ac:dyDescent="0.2"/>
    <row r="14" spans="1:6" ht="19.5" customHeight="1" x14ac:dyDescent="0.2">
      <c r="B14" s="82" t="s">
        <v>57</v>
      </c>
      <c r="C14" s="82"/>
      <c r="D14" s="82"/>
      <c r="E14" s="82"/>
    </row>
    <row r="15" spans="1:6" ht="18" customHeight="1" x14ac:dyDescent="0.2">
      <c r="B15" s="12" t="s">
        <v>58</v>
      </c>
      <c r="C15" s="13">
        <v>0</v>
      </c>
      <c r="D15" s="53">
        <f>IF(C15=0,0,C15/'⚙ Config'!$C$7)</f>
        <v>0</v>
      </c>
    </row>
    <row r="16" spans="1:6" ht="18" customHeight="1" x14ac:dyDescent="0.2">
      <c r="B16" s="12" t="s">
        <v>59</v>
      </c>
      <c r="C16" s="13">
        <v>0</v>
      </c>
      <c r="D16" s="53">
        <f>IF(C16=0,0,C16/'⚙ Config'!$C$7)</f>
        <v>0</v>
      </c>
    </row>
    <row r="17" spans="2:5" ht="18" customHeight="1" x14ac:dyDescent="0.2">
      <c r="B17" s="12" t="s">
        <v>60</v>
      </c>
      <c r="C17" s="13">
        <v>0</v>
      </c>
      <c r="D17" s="53">
        <f>IF(C17=0,0,C17/'⚙ Config'!$C$7)</f>
        <v>0</v>
      </c>
    </row>
    <row r="18" spans="2:5" ht="18" customHeight="1" x14ac:dyDescent="0.2">
      <c r="B18" s="12" t="s">
        <v>61</v>
      </c>
      <c r="C18" s="13">
        <v>0</v>
      </c>
      <c r="D18" s="53">
        <f>IF(C18=0,0,C18/'⚙ Config'!$C$7)</f>
        <v>0</v>
      </c>
    </row>
    <row r="19" spans="2:5" ht="18" customHeight="1" x14ac:dyDescent="0.2">
      <c r="B19" s="12" t="s">
        <v>62</v>
      </c>
      <c r="C19" s="13">
        <v>0</v>
      </c>
      <c r="D19" s="53">
        <f>IF(C19=0,0,C19/'⚙ Config'!$C$7)</f>
        <v>0</v>
      </c>
    </row>
    <row r="20" spans="2:5" ht="21.75" customHeight="1" x14ac:dyDescent="0.2">
      <c r="B20" s="14" t="s">
        <v>63</v>
      </c>
      <c r="C20" s="15">
        <f>SUM(C15:C19)</f>
        <v>0</v>
      </c>
      <c r="D20" s="52">
        <f>C20/'⚙ Config'!$C$7</f>
        <v>0</v>
      </c>
    </row>
    <row r="21" spans="2:5" ht="7.5" customHeight="1" x14ac:dyDescent="0.2"/>
    <row r="22" spans="2:5" ht="19.5" customHeight="1" x14ac:dyDescent="0.2">
      <c r="B22" s="82" t="s">
        <v>64</v>
      </c>
      <c r="C22" s="82"/>
      <c r="D22" s="82"/>
      <c r="E22" s="82"/>
    </row>
    <row r="23" spans="2:5" ht="18" customHeight="1" x14ac:dyDescent="0.2">
      <c r="B23" s="12" t="s">
        <v>65</v>
      </c>
      <c r="C23" s="13">
        <v>0</v>
      </c>
      <c r="D23" s="53">
        <f>IF(C23=0,0,C23/'⚙ Config'!$C$7)</f>
        <v>0</v>
      </c>
    </row>
    <row r="24" spans="2:5" ht="18" customHeight="1" x14ac:dyDescent="0.2">
      <c r="B24" s="12" t="s">
        <v>66</v>
      </c>
      <c r="C24" s="13">
        <v>0</v>
      </c>
      <c r="D24" s="53">
        <f>IF(C24=0,0,C24/'⚙ Config'!$C$7)</f>
        <v>0</v>
      </c>
    </row>
    <row r="25" spans="2:5" ht="18" customHeight="1" x14ac:dyDescent="0.2">
      <c r="B25" s="12" t="s">
        <v>67</v>
      </c>
      <c r="C25" s="13">
        <v>0</v>
      </c>
      <c r="D25" s="53">
        <f>IF(C25=0,0,C25/'⚙ Config'!$C$7)</f>
        <v>0</v>
      </c>
    </row>
    <row r="26" spans="2:5" ht="18" customHeight="1" x14ac:dyDescent="0.2">
      <c r="B26" s="12" t="s">
        <v>68</v>
      </c>
      <c r="C26" s="13">
        <v>0</v>
      </c>
      <c r="D26" s="53">
        <f>IF(C26=0,0,C26/'⚙ Config'!$C$7)</f>
        <v>0</v>
      </c>
    </row>
    <row r="27" spans="2:5" ht="18" customHeight="1" x14ac:dyDescent="0.2">
      <c r="B27" s="12" t="s">
        <v>69</v>
      </c>
      <c r="C27" s="13">
        <v>0</v>
      </c>
      <c r="D27" s="53">
        <f>IF(C27=0,0,C27/'⚙ Config'!$C$7)</f>
        <v>0</v>
      </c>
    </row>
    <row r="28" spans="2:5" ht="18" customHeight="1" x14ac:dyDescent="0.2">
      <c r="B28" s="12" t="s">
        <v>70</v>
      </c>
      <c r="C28" s="13">
        <v>0</v>
      </c>
      <c r="D28" s="53">
        <f>IF(C28=0,0,C28/'⚙ Config'!$C$7)</f>
        <v>0</v>
      </c>
    </row>
    <row r="29" spans="2:5" ht="21.75" customHeight="1" x14ac:dyDescent="0.2">
      <c r="B29" s="14" t="s">
        <v>71</v>
      </c>
      <c r="C29" s="15">
        <f>SUM(C23:C28)</f>
        <v>0</v>
      </c>
      <c r="D29" s="52">
        <f>C29/'⚙ Config'!$C$7</f>
        <v>0</v>
      </c>
    </row>
    <row r="30" spans="2:5" ht="7.5" customHeight="1" x14ac:dyDescent="0.2"/>
    <row r="31" spans="2:5" ht="27.75" customHeight="1" x14ac:dyDescent="0.2">
      <c r="B31" s="16" t="s">
        <v>72</v>
      </c>
      <c r="C31" s="17">
        <f>C12+C20+C29</f>
        <v>0</v>
      </c>
      <c r="D31" s="51">
        <f>C31/'⚙ Config'!$C$7</f>
        <v>0</v>
      </c>
    </row>
    <row r="33" spans="2:5" ht="19.5" customHeight="1" x14ac:dyDescent="0.2">
      <c r="B33" s="83" t="s">
        <v>73</v>
      </c>
      <c r="C33" s="83"/>
      <c r="D33" s="83"/>
      <c r="E33" s="83"/>
    </row>
  </sheetData>
  <mergeCells count="5">
    <mergeCell ref="B2:E2"/>
    <mergeCell ref="B5:E5"/>
    <mergeCell ref="B14:E14"/>
    <mergeCell ref="B22:E22"/>
    <mergeCell ref="B33:E33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93C1D"/>
  </sheetPr>
  <dimension ref="A1:F59"/>
  <sheetViews>
    <sheetView showGridLines="0" zoomScaleNormal="100" workbookViewId="0">
      <pane xSplit="2" ySplit="4" topLeftCell="C43" activePane="bottomRight" state="frozen"/>
      <selection pane="topRight" activeCell="C1" sqref="C1"/>
      <selection pane="bottomLeft" activeCell="A5" sqref="A5"/>
      <selection pane="bottomRight" activeCell="B2" sqref="B2:E2"/>
    </sheetView>
  </sheetViews>
  <sheetFormatPr baseColWidth="10" defaultColWidth="8.6640625" defaultRowHeight="15" x14ac:dyDescent="0.2"/>
  <cols>
    <col min="1" max="1" width="3" customWidth="1"/>
    <col min="2" max="2" width="42.1640625" customWidth="1"/>
    <col min="3" max="3" width="26.83203125" customWidth="1"/>
    <col min="4" max="4" width="18" customWidth="1"/>
    <col min="5" max="5" width="24" customWidth="1"/>
    <col min="6" max="6" width="3" customWidth="1"/>
  </cols>
  <sheetData>
    <row r="1" spans="1:6" ht="15" customHeight="1" x14ac:dyDescent="0.2">
      <c r="A1" s="56"/>
      <c r="B1" s="56"/>
      <c r="C1" s="56"/>
      <c r="D1" s="56"/>
      <c r="E1" s="56"/>
      <c r="F1" s="56"/>
    </row>
    <row r="2" spans="1:6" ht="39.75" customHeight="1" x14ac:dyDescent="0.2">
      <c r="A2" s="56"/>
      <c r="B2" s="85" t="s">
        <v>74</v>
      </c>
      <c r="C2" s="86"/>
      <c r="D2" s="86"/>
      <c r="E2" s="86"/>
      <c r="F2" s="56"/>
    </row>
    <row r="3" spans="1:6" ht="15" customHeight="1" x14ac:dyDescent="0.2">
      <c r="A3" s="56"/>
      <c r="B3" s="56"/>
      <c r="C3" s="56"/>
      <c r="D3" s="56"/>
      <c r="E3" s="56"/>
      <c r="F3" s="56"/>
    </row>
    <row r="4" spans="1:6" ht="18" customHeight="1" x14ac:dyDescent="0.2">
      <c r="A4" s="3"/>
      <c r="B4" s="3" t="s">
        <v>45</v>
      </c>
      <c r="C4" s="3" t="s">
        <v>46</v>
      </c>
      <c r="D4" s="3" t="s">
        <v>47</v>
      </c>
      <c r="E4" s="3" t="s">
        <v>75</v>
      </c>
    </row>
    <row r="5" spans="1:6" ht="19.5" customHeight="1" x14ac:dyDescent="0.2">
      <c r="B5" s="87" t="s">
        <v>76</v>
      </c>
      <c r="C5" s="84"/>
      <c r="D5" s="84"/>
      <c r="E5" s="84"/>
    </row>
    <row r="6" spans="1:6" ht="18" customHeight="1" x14ac:dyDescent="0.2">
      <c r="B6" s="12" t="s">
        <v>77</v>
      </c>
      <c r="C6" s="13">
        <v>0</v>
      </c>
      <c r="D6" s="53">
        <f>IF(C6=0,0,C6/'⚙ Config'!$C$7)</f>
        <v>0</v>
      </c>
    </row>
    <row r="7" spans="1:6" ht="18" customHeight="1" x14ac:dyDescent="0.2">
      <c r="B7" s="12" t="s">
        <v>78</v>
      </c>
      <c r="C7" s="13">
        <v>0</v>
      </c>
      <c r="D7" s="53">
        <f>IF(C7=0,0,C7/'⚙ Config'!$C$7)</f>
        <v>0</v>
      </c>
    </row>
    <row r="8" spans="1:6" ht="18" customHeight="1" x14ac:dyDescent="0.2">
      <c r="B8" s="12" t="s">
        <v>79</v>
      </c>
      <c r="C8" s="13">
        <v>0</v>
      </c>
      <c r="D8" s="53">
        <f>IF(C8=0,0,C8/'⚙ Config'!$C$7)</f>
        <v>0</v>
      </c>
    </row>
    <row r="9" spans="1:6" ht="18" customHeight="1" x14ac:dyDescent="0.2">
      <c r="B9" s="12" t="s">
        <v>80</v>
      </c>
      <c r="C9" s="13">
        <v>0</v>
      </c>
      <c r="D9" s="53">
        <f>IF(C9=0,0,C9/'⚙ Config'!$C$7)</f>
        <v>0</v>
      </c>
    </row>
    <row r="10" spans="1:6" ht="18" customHeight="1" x14ac:dyDescent="0.2">
      <c r="B10" s="12" t="s">
        <v>81</v>
      </c>
      <c r="C10" s="13">
        <v>0</v>
      </c>
      <c r="D10" s="53">
        <f>IF(C10=0,0,C10/'⚙ Config'!$C$7)</f>
        <v>0</v>
      </c>
    </row>
    <row r="11" spans="1:6" ht="18" customHeight="1" x14ac:dyDescent="0.2">
      <c r="B11" s="12" t="s">
        <v>82</v>
      </c>
      <c r="C11" s="13">
        <v>0</v>
      </c>
      <c r="D11" s="53">
        <f>IF(C11=0,0,C11/'⚙ Config'!$C$7)</f>
        <v>0</v>
      </c>
    </row>
    <row r="12" spans="1:6" ht="18" customHeight="1" x14ac:dyDescent="0.2">
      <c r="B12" s="12" t="s">
        <v>83</v>
      </c>
      <c r="C12" s="13">
        <v>0</v>
      </c>
      <c r="D12" s="53">
        <f>IF(C12=0,0,C12/'⚙ Config'!$C$7)</f>
        <v>0</v>
      </c>
    </row>
    <row r="13" spans="1:6" ht="21.75" customHeight="1" x14ac:dyDescent="0.2">
      <c r="B13" s="57" t="s">
        <v>84</v>
      </c>
      <c r="C13" s="58">
        <f>SUM(C6:C12)</f>
        <v>0</v>
      </c>
      <c r="D13" s="59">
        <f>C13/'⚙ Config'!$C$7</f>
        <v>0</v>
      </c>
    </row>
    <row r="15" spans="1:6" ht="19.5" customHeight="1" x14ac:dyDescent="0.2">
      <c r="B15" s="84" t="s">
        <v>85</v>
      </c>
      <c r="C15" s="84"/>
      <c r="D15" s="84"/>
      <c r="E15" s="84"/>
    </row>
    <row r="16" spans="1:6" ht="18" customHeight="1" x14ac:dyDescent="0.2">
      <c r="B16" s="12" t="s">
        <v>86</v>
      </c>
      <c r="C16" s="13">
        <v>0</v>
      </c>
      <c r="D16" s="53">
        <f>IF(C16=0,0,C16/'⚙ Config'!$C$7)</f>
        <v>0</v>
      </c>
    </row>
    <row r="17" spans="2:5" ht="18" customHeight="1" x14ac:dyDescent="0.2">
      <c r="B17" s="12" t="s">
        <v>87</v>
      </c>
      <c r="C17" s="13">
        <v>0</v>
      </c>
      <c r="D17" s="53">
        <f>IF(C17=0,0,C17/'⚙ Config'!$C$7)</f>
        <v>0</v>
      </c>
    </row>
    <row r="18" spans="2:5" ht="18" customHeight="1" x14ac:dyDescent="0.2">
      <c r="B18" s="12" t="s">
        <v>88</v>
      </c>
      <c r="C18" s="13">
        <v>0</v>
      </c>
      <c r="D18" s="53">
        <f>IF(C18=0,0,C18/'⚙ Config'!$C$7)</f>
        <v>0</v>
      </c>
    </row>
    <row r="19" spans="2:5" ht="18" customHeight="1" x14ac:dyDescent="0.2">
      <c r="B19" s="12" t="s">
        <v>89</v>
      </c>
      <c r="C19" s="13">
        <v>0</v>
      </c>
      <c r="D19" s="53">
        <f>IF(C19=0,0,C19/'⚙ Config'!$C$7)</f>
        <v>0</v>
      </c>
    </row>
    <row r="20" spans="2:5" ht="18" customHeight="1" x14ac:dyDescent="0.2">
      <c r="B20" s="12" t="s">
        <v>90</v>
      </c>
      <c r="C20" s="13">
        <v>0</v>
      </c>
      <c r="D20" s="53">
        <f>IF(C20=0,0,C20/'⚙ Config'!$C$7)</f>
        <v>0</v>
      </c>
    </row>
    <row r="21" spans="2:5" ht="21.75" customHeight="1" x14ac:dyDescent="0.2">
      <c r="B21" s="60" t="s">
        <v>91</v>
      </c>
      <c r="C21" s="58">
        <f>SUM(C16:C20)</f>
        <v>0</v>
      </c>
      <c r="D21" s="59">
        <f>C21/'⚙ Config'!$C$7</f>
        <v>0</v>
      </c>
    </row>
    <row r="23" spans="2:5" ht="19.5" customHeight="1" x14ac:dyDescent="0.2">
      <c r="B23" s="84" t="s">
        <v>92</v>
      </c>
      <c r="C23" s="84"/>
      <c r="D23" s="84"/>
      <c r="E23" s="84"/>
    </row>
    <row r="24" spans="2:5" ht="18" customHeight="1" x14ac:dyDescent="0.2">
      <c r="B24" s="12" t="s">
        <v>93</v>
      </c>
      <c r="C24" s="13">
        <v>0</v>
      </c>
      <c r="D24" s="53">
        <f>IF(C24=0,0,C24/'⚙ Config'!$C$7)</f>
        <v>0</v>
      </c>
    </row>
    <row r="25" spans="2:5" ht="18" customHeight="1" x14ac:dyDescent="0.2">
      <c r="B25" s="12" t="s">
        <v>94</v>
      </c>
      <c r="C25" s="13">
        <v>0</v>
      </c>
      <c r="D25" s="53">
        <f>IF(C25=0,0,C25/'⚙ Config'!$C$7)</f>
        <v>0</v>
      </c>
    </row>
    <row r="26" spans="2:5" ht="18" customHeight="1" x14ac:dyDescent="0.2">
      <c r="B26" s="12" t="s">
        <v>95</v>
      </c>
      <c r="C26" s="13">
        <v>0</v>
      </c>
      <c r="D26" s="53">
        <f>IF(C26=0,0,C26/'⚙ Config'!$C$7)</f>
        <v>0</v>
      </c>
    </row>
    <row r="27" spans="2:5" ht="21.75" customHeight="1" x14ac:dyDescent="0.2">
      <c r="B27" s="60" t="s">
        <v>96</v>
      </c>
      <c r="C27" s="58">
        <f>SUM(C24:C26)</f>
        <v>0</v>
      </c>
      <c r="D27" s="59">
        <f>C27/'⚙ Config'!$C$7</f>
        <v>0</v>
      </c>
    </row>
    <row r="29" spans="2:5" ht="19.5" customHeight="1" x14ac:dyDescent="0.2">
      <c r="B29" s="84" t="s">
        <v>97</v>
      </c>
      <c r="C29" s="84"/>
      <c r="D29" s="84"/>
      <c r="E29" s="84"/>
    </row>
    <row r="30" spans="2:5" ht="18" customHeight="1" x14ac:dyDescent="0.2">
      <c r="B30" s="12" t="s">
        <v>98</v>
      </c>
      <c r="C30" s="13">
        <v>0</v>
      </c>
      <c r="D30" s="53">
        <f>IF(C30=0,0,C30/'⚙ Config'!$C$7)</f>
        <v>0</v>
      </c>
    </row>
    <row r="31" spans="2:5" ht="18" customHeight="1" x14ac:dyDescent="0.2">
      <c r="B31" s="12" t="s">
        <v>99</v>
      </c>
      <c r="C31" s="13">
        <v>0</v>
      </c>
      <c r="D31" s="53">
        <f>IF(C31=0,0,C31/'⚙ Config'!$C$7)</f>
        <v>0</v>
      </c>
    </row>
    <row r="32" spans="2:5" ht="18" customHeight="1" x14ac:dyDescent="0.2">
      <c r="B32" s="12" t="s">
        <v>100</v>
      </c>
      <c r="C32" s="13">
        <v>0</v>
      </c>
      <c r="D32" s="53">
        <f>IF(C32=0,0,C32/'⚙ Config'!$C$7)</f>
        <v>0</v>
      </c>
    </row>
    <row r="33" spans="2:5" ht="18" customHeight="1" x14ac:dyDescent="0.2">
      <c r="B33" s="12" t="s">
        <v>101</v>
      </c>
      <c r="C33" s="13">
        <v>0</v>
      </c>
      <c r="D33" s="53">
        <f>IF(C33=0,0,C33/'⚙ Config'!$C$7)</f>
        <v>0</v>
      </c>
    </row>
    <row r="34" spans="2:5" ht="21.75" customHeight="1" x14ac:dyDescent="0.2">
      <c r="B34" s="57" t="s">
        <v>102</v>
      </c>
      <c r="C34" s="58">
        <f>SUM(C30:C33)</f>
        <v>0</v>
      </c>
      <c r="D34" s="59">
        <f>C34/'⚙ Config'!$C$7</f>
        <v>0</v>
      </c>
    </row>
    <row r="36" spans="2:5" ht="19.5" customHeight="1" x14ac:dyDescent="0.2">
      <c r="B36" s="84" t="s">
        <v>103</v>
      </c>
      <c r="C36" s="84"/>
      <c r="D36" s="84"/>
      <c r="E36" s="84"/>
    </row>
    <row r="37" spans="2:5" ht="18" customHeight="1" x14ac:dyDescent="0.2">
      <c r="B37" s="12" t="s">
        <v>104</v>
      </c>
      <c r="C37" s="13">
        <v>0</v>
      </c>
      <c r="D37" s="53">
        <f>IF(C37=0,0,C37/'⚙ Config'!$C$7)</f>
        <v>0</v>
      </c>
    </row>
    <row r="38" spans="2:5" ht="18" customHeight="1" x14ac:dyDescent="0.2">
      <c r="B38" s="12" t="s">
        <v>105</v>
      </c>
      <c r="C38" s="13">
        <v>0</v>
      </c>
      <c r="D38" s="53">
        <f>IF(C38=0,0,C38/'⚙ Config'!$C$7)</f>
        <v>0</v>
      </c>
    </row>
    <row r="39" spans="2:5" ht="18" customHeight="1" x14ac:dyDescent="0.2">
      <c r="B39" s="12" t="s">
        <v>106</v>
      </c>
      <c r="C39" s="13">
        <v>0</v>
      </c>
      <c r="D39" s="53">
        <f>IF(C39=0,0,C39/'⚙ Config'!$C$7)</f>
        <v>0</v>
      </c>
    </row>
    <row r="40" spans="2:5" ht="21.75" customHeight="1" x14ac:dyDescent="0.2">
      <c r="B40" s="60" t="s">
        <v>107</v>
      </c>
      <c r="C40" s="58">
        <f>SUM(C37:C39)</f>
        <v>0</v>
      </c>
      <c r="D40" s="59">
        <f>C40/'⚙ Config'!$C$7</f>
        <v>0</v>
      </c>
    </row>
    <row r="42" spans="2:5" ht="19.5" customHeight="1" x14ac:dyDescent="0.2">
      <c r="B42" s="84" t="s">
        <v>108</v>
      </c>
      <c r="C42" s="84"/>
      <c r="D42" s="84"/>
      <c r="E42" s="84"/>
    </row>
    <row r="43" spans="2:5" ht="18" customHeight="1" x14ac:dyDescent="0.2">
      <c r="B43" s="12" t="s">
        <v>109</v>
      </c>
      <c r="C43" s="13">
        <v>0</v>
      </c>
      <c r="D43" s="53">
        <f>IF(C43=0,0,C43/'⚙ Config'!$C$7)</f>
        <v>0</v>
      </c>
    </row>
    <row r="44" spans="2:5" ht="18" customHeight="1" x14ac:dyDescent="0.2">
      <c r="B44" s="12" t="s">
        <v>110</v>
      </c>
      <c r="C44" s="13">
        <v>0</v>
      </c>
      <c r="D44" s="53">
        <f>IF(C44=0,0,C44/'⚙ Config'!$C$7)</f>
        <v>0</v>
      </c>
    </row>
    <row r="45" spans="2:5" ht="18" customHeight="1" x14ac:dyDescent="0.2">
      <c r="B45" s="12" t="s">
        <v>111</v>
      </c>
      <c r="C45" s="13">
        <v>0</v>
      </c>
      <c r="D45" s="53">
        <f>IF(C45=0,0,C45/'⚙ Config'!$C$7)</f>
        <v>0</v>
      </c>
    </row>
    <row r="46" spans="2:5" ht="18" customHeight="1" x14ac:dyDescent="0.2">
      <c r="B46" s="64" t="s">
        <v>199</v>
      </c>
      <c r="C46" s="13">
        <v>0</v>
      </c>
      <c r="D46" s="53">
        <f>IF(C46=0,0,C46/'⚙ Config'!$C$7)</f>
        <v>0</v>
      </c>
    </row>
    <row r="47" spans="2:5" ht="18" customHeight="1" x14ac:dyDescent="0.2">
      <c r="B47" s="12" t="s">
        <v>112</v>
      </c>
      <c r="C47" s="13">
        <v>0</v>
      </c>
      <c r="D47" s="53">
        <f>IF(C47=0,0,C47/'⚙ Config'!$C$7)</f>
        <v>0</v>
      </c>
    </row>
    <row r="48" spans="2:5" ht="21.75" customHeight="1" x14ac:dyDescent="0.2">
      <c r="B48" s="60" t="s">
        <v>113</v>
      </c>
      <c r="C48" s="58">
        <f>SUM(C43:C47)</f>
        <v>0</v>
      </c>
      <c r="D48" s="59">
        <f>C48/'⚙ Config'!$C$7</f>
        <v>0</v>
      </c>
    </row>
    <row r="50" spans="2:5" ht="19.5" customHeight="1" x14ac:dyDescent="0.2">
      <c r="B50" s="84" t="s">
        <v>114</v>
      </c>
      <c r="C50" s="84"/>
      <c r="D50" s="84"/>
      <c r="E50" s="84"/>
    </row>
    <row r="51" spans="2:5" ht="18" customHeight="1" x14ac:dyDescent="0.2">
      <c r="B51" s="12" t="s">
        <v>115</v>
      </c>
      <c r="C51" s="13">
        <v>0</v>
      </c>
      <c r="D51" s="53">
        <f>IF(C51=0,0,C51/'⚙ Config'!$C$7)</f>
        <v>0</v>
      </c>
    </row>
    <row r="52" spans="2:5" ht="18" customHeight="1" x14ac:dyDescent="0.2">
      <c r="B52" s="12" t="s">
        <v>116</v>
      </c>
      <c r="C52" s="13">
        <v>0</v>
      </c>
      <c r="D52" s="53">
        <f>IF(C52=0,0,C52/'⚙ Config'!$C$7)</f>
        <v>0</v>
      </c>
    </row>
    <row r="53" spans="2:5" ht="18" customHeight="1" x14ac:dyDescent="0.2">
      <c r="B53" s="12" t="s">
        <v>117</v>
      </c>
      <c r="C53" s="13">
        <v>0</v>
      </c>
      <c r="D53" s="53">
        <f>IF(C53=0,0,C53/'⚙ Config'!$C$7)</f>
        <v>0</v>
      </c>
    </row>
    <row r="54" spans="2:5" ht="18" customHeight="1" x14ac:dyDescent="0.2">
      <c r="B54" s="12" t="s">
        <v>118</v>
      </c>
      <c r="C54" s="13">
        <v>0</v>
      </c>
      <c r="D54" s="53">
        <f>IF(C54=0,0,C54/'⚙ Config'!$C$7)</f>
        <v>0</v>
      </c>
    </row>
    <row r="55" spans="2:5" ht="21.75" customHeight="1" x14ac:dyDescent="0.2">
      <c r="B55" s="60" t="s">
        <v>119</v>
      </c>
      <c r="C55" s="58">
        <f>SUM(C51:C54)</f>
        <v>0</v>
      </c>
      <c r="D55" s="59">
        <f>C55/'⚙ Config'!$C$7</f>
        <v>0</v>
      </c>
    </row>
    <row r="57" spans="2:5" ht="18" customHeight="1" x14ac:dyDescent="0.2">
      <c r="B57" s="18" t="s">
        <v>120</v>
      </c>
      <c r="C57" s="19">
        <f>(C13+C21+C27+C34+C40+C48+C55)*0.1</f>
        <v>0</v>
      </c>
      <c r="D57" s="53">
        <f>C57/'⚙ Config'!$C$7</f>
        <v>0</v>
      </c>
    </row>
    <row r="59" spans="2:5" ht="27.75" customHeight="1" x14ac:dyDescent="0.2">
      <c r="B59" s="61" t="s">
        <v>121</v>
      </c>
      <c r="C59" s="62">
        <f>C13+C21+C27+C34+C40+C48+C55+C57</f>
        <v>0</v>
      </c>
      <c r="D59" s="63">
        <f>C59/'⚙ Config'!$C$7</f>
        <v>0</v>
      </c>
    </row>
  </sheetData>
  <mergeCells count="8">
    <mergeCell ref="B36:E36"/>
    <mergeCell ref="B42:E42"/>
    <mergeCell ref="B50:E50"/>
    <mergeCell ref="B2:E2"/>
    <mergeCell ref="B5:E5"/>
    <mergeCell ref="B15:E15"/>
    <mergeCell ref="B23:E23"/>
    <mergeCell ref="B29:E29"/>
  </mergeCell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BA7517"/>
  </sheetPr>
  <dimension ref="A1:F20"/>
  <sheetViews>
    <sheetView showGridLines="0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D8" sqref="D8"/>
    </sheetView>
  </sheetViews>
  <sheetFormatPr baseColWidth="10" defaultColWidth="8.6640625" defaultRowHeight="15" x14ac:dyDescent="0.2"/>
  <cols>
    <col min="1" max="1" width="3" customWidth="1"/>
    <col min="2" max="2" width="73" customWidth="1"/>
    <col min="3" max="3" width="20" customWidth="1"/>
    <col min="4" max="4" width="35.5" customWidth="1"/>
    <col min="5" max="5" width="28" customWidth="1"/>
    <col min="6" max="6" width="3" customWidth="1"/>
  </cols>
  <sheetData>
    <row r="1" spans="1:6" ht="15" customHeight="1" x14ac:dyDescent="0.2">
      <c r="A1" s="1"/>
      <c r="B1" s="1"/>
      <c r="C1" s="1"/>
      <c r="D1" s="1"/>
      <c r="E1" s="1"/>
      <c r="F1" s="1"/>
    </row>
    <row r="2" spans="1:6" ht="39.75" customHeight="1" x14ac:dyDescent="0.2">
      <c r="A2" s="1"/>
      <c r="B2" s="88" t="s">
        <v>122</v>
      </c>
      <c r="C2" s="80"/>
      <c r="D2" s="80"/>
      <c r="E2" s="80"/>
      <c r="F2" s="1"/>
    </row>
    <row r="3" spans="1:6" ht="15" customHeight="1" x14ac:dyDescent="0.2">
      <c r="A3" s="1"/>
      <c r="B3" s="1"/>
      <c r="C3" s="1"/>
      <c r="D3" s="1"/>
      <c r="E3" s="1"/>
      <c r="F3" s="1"/>
    </row>
    <row r="4" spans="1:6" ht="18" customHeight="1" x14ac:dyDescent="0.2">
      <c r="A4" s="3"/>
      <c r="B4" s="3" t="s">
        <v>45</v>
      </c>
      <c r="C4" s="3" t="s">
        <v>46</v>
      </c>
      <c r="D4" s="3" t="s">
        <v>47</v>
      </c>
      <c r="E4" s="3" t="s">
        <v>123</v>
      </c>
    </row>
    <row r="5" spans="1:6" ht="21.75" customHeight="1" x14ac:dyDescent="0.2">
      <c r="B5" s="14" t="s">
        <v>124</v>
      </c>
      <c r="C5" s="15">
        <f>'💰 Ingresos'!C31</f>
        <v>0</v>
      </c>
      <c r="D5" s="65">
        <f>'💰 Ingresos'!D31</f>
        <v>0</v>
      </c>
      <c r="E5" s="6" t="s">
        <v>125</v>
      </c>
    </row>
    <row r="6" spans="1:6" ht="21.75" customHeight="1" x14ac:dyDescent="0.2">
      <c r="B6" s="14" t="s">
        <v>126</v>
      </c>
      <c r="C6" s="15">
        <f>'💸 Gastos'!C59</f>
        <v>0</v>
      </c>
      <c r="D6" s="65">
        <f>'💸 Gastos'!D59</f>
        <v>0</v>
      </c>
      <c r="E6" s="6" t="s">
        <v>127</v>
      </c>
    </row>
    <row r="7" spans="1:6" ht="6" customHeight="1" x14ac:dyDescent="0.2"/>
    <row r="8" spans="1:6" ht="25.5" customHeight="1" x14ac:dyDescent="0.2">
      <c r="B8" s="20" t="s">
        <v>128</v>
      </c>
      <c r="C8" s="21">
        <f>C5-C6</f>
        <v>0</v>
      </c>
      <c r="D8" s="66">
        <f>D5-D6</f>
        <v>0</v>
      </c>
      <c r="E8" s="6"/>
    </row>
    <row r="9" spans="1:6" ht="9.75" customHeight="1" x14ac:dyDescent="0.2"/>
    <row r="10" spans="1:6" ht="21.75" customHeight="1" x14ac:dyDescent="0.2">
      <c r="B10" s="81" t="s">
        <v>129</v>
      </c>
      <c r="C10" s="81"/>
      <c r="D10" s="81"/>
      <c r="E10" s="81"/>
    </row>
    <row r="11" spans="1:6" ht="18" customHeight="1" x14ac:dyDescent="0.2">
      <c r="A11" s="3"/>
      <c r="B11" s="3" t="s">
        <v>123</v>
      </c>
      <c r="C11" s="3" t="s">
        <v>130</v>
      </c>
      <c r="D11" s="3" t="s">
        <v>131</v>
      </c>
      <c r="E11" s="3" t="s">
        <v>132</v>
      </c>
    </row>
    <row r="12" spans="1:6" ht="19.5" customHeight="1" x14ac:dyDescent="0.2">
      <c r="B12" s="12" t="s">
        <v>133</v>
      </c>
      <c r="C12" s="22">
        <f>IFERROR(C8/'💰 Ingresos'!C31,0)</f>
        <v>0</v>
      </c>
      <c r="D12" t="s">
        <v>200</v>
      </c>
      <c r="E12" s="23" t="str">
        <f>IFERROR(IF(C12&gt;=0.2,"🟢 Excelente",IF(C12&gt;=0.1,"🟡 En progreso",IF(C12&gt;0,"🟠 Bajo","🔴 Urgente"))),"")</f>
        <v>🔴 Urgente</v>
      </c>
    </row>
    <row r="13" spans="1:6" ht="19.5" customHeight="1" x14ac:dyDescent="0.2">
      <c r="B13" s="12" t="s">
        <v>134</v>
      </c>
      <c r="C13" s="22">
        <f>IFERROR('💰 Ingresos'!C20/'💰 Ingresos'!C31,0)</f>
        <v>0</v>
      </c>
      <c r="D13" t="s">
        <v>201</v>
      </c>
      <c r="E13" s="23" t="str">
        <f>IFERROR(IF(C13&gt;=0.5,"🟢 Ingresos libres",IF(C13&gt;=0.2,"🟡 Creciendo",IF(C13&gt;0,"🟠 Inicios","🔴 Sin pasivos"))),"")</f>
        <v>🔴 Sin pasivos</v>
      </c>
    </row>
    <row r="14" spans="1:6" ht="19.5" customHeight="1" x14ac:dyDescent="0.2">
      <c r="B14" s="64" t="s">
        <v>198</v>
      </c>
      <c r="C14" s="22">
        <f>IFERROR('💰 Ingresos'!C20/'💸 Gastos'!C59,0)</f>
        <v>0</v>
      </c>
      <c r="D14" t="s">
        <v>202</v>
      </c>
      <c r="E14" s="23" t="str">
        <f>IFERROR(IF(C14&gt;=1,"🟢 Libre financiero",IF(C14&gt;=0.5,"🟡 Mitad del camino",IF(C14&gt;0,"🟠 Comenzando","🔴 Sin ingresos pasivos"))),"")</f>
        <v>🔴 Sin ingresos pasivos</v>
      </c>
    </row>
    <row r="15" spans="1:6" ht="19.5" customHeight="1" x14ac:dyDescent="0.2">
      <c r="B15" s="12" t="s">
        <v>135</v>
      </c>
      <c r="C15" s="22">
        <f>IFERROR('💸 Gastos'!C55/'💸 Gastos'!C59,0)</f>
        <v>0</v>
      </c>
      <c r="D15" t="s">
        <v>204</v>
      </c>
      <c r="E15" s="23" t="str">
        <f>IFERROR(IF(C15&lt;=0.1,"🟢 Controlado",IF(C15&lt;=0.2,"🟡 Atención","🔴 Revisar gastos")),"")</f>
        <v>🟢 Controlado</v>
      </c>
    </row>
    <row r="16" spans="1:6" ht="19.5" customHeight="1" x14ac:dyDescent="0.2">
      <c r="B16" s="12" t="s">
        <v>136</v>
      </c>
      <c r="C16" s="24">
        <f>IFERROR('📊 Patrimonio'!C30/'💸 Gastos'!C59,0)</f>
        <v>0</v>
      </c>
      <c r="D16" t="s">
        <v>203</v>
      </c>
      <c r="E16" s="23" t="str">
        <f>IFERROR(IF(C16&gt;=6,"🟢 +6 meses",IF(C16&gt;=3,"🟡 3-6 meses",IF(C16&gt;=1,"🟠 1-3 meses","🔴 Menos de 1 mes"))),"")</f>
        <v>🔴 Menos de 1 mes</v>
      </c>
    </row>
    <row r="18" spans="2:5" ht="9.75" customHeight="1" x14ac:dyDescent="0.2"/>
    <row r="19" spans="2:5" ht="21.75" customHeight="1" x14ac:dyDescent="0.2">
      <c r="B19" s="89" t="s">
        <v>137</v>
      </c>
      <c r="C19" s="89"/>
      <c r="D19" s="89"/>
      <c r="E19" s="89"/>
    </row>
    <row r="20" spans="2:5" ht="30" customHeight="1" x14ac:dyDescent="0.2">
      <c r="B20" s="90" t="s">
        <v>138</v>
      </c>
      <c r="C20" s="90"/>
      <c r="D20" s="90"/>
      <c r="E20" s="90"/>
    </row>
  </sheetData>
  <mergeCells count="4">
    <mergeCell ref="B2:E2"/>
    <mergeCell ref="B10:E10"/>
    <mergeCell ref="B19:E19"/>
    <mergeCell ref="B20:E20"/>
  </mergeCells>
  <conditionalFormatting sqref="B8:D8">
    <cfRule type="expression" dxfId="20" priority="2">
      <formula>$C$8&lt;0</formula>
    </cfRule>
    <cfRule type="expression" dxfId="19" priority="3">
      <formula>AND($C$8&gt;=0,IF($C$5=0,1,$C$8/$C$5)&lt;0.1)</formula>
    </cfRule>
    <cfRule type="expression" dxfId="18" priority="4">
      <formula>IF($C$5=0,0,$C$8/$C$5)&gt;=0.1</formula>
    </cfRule>
  </conditionalFormatting>
  <conditionalFormatting sqref="B20:E20">
    <cfRule type="expression" dxfId="17" priority="8">
      <formula>$C$8&lt;0</formula>
    </cfRule>
    <cfRule type="expression" dxfId="16" priority="9">
      <formula>AND($C$8&gt;=0,IF($C$5=0,1,$C$8/$C$5)&lt;0.1)</formula>
    </cfRule>
    <cfRule type="expression" dxfId="15" priority="10">
      <formula>IF($C$5=0,0,$C$8/$C$5)&gt;=0.1</formula>
    </cfRule>
  </conditionalFormatting>
  <conditionalFormatting sqref="C12">
    <cfRule type="expression" dxfId="14" priority="11">
      <formula>$C$12&gt;=0.2</formula>
    </cfRule>
    <cfRule type="expression" dxfId="13" priority="12">
      <formula>AND($C$12&gt;=0.1,$C$12&lt;0.2)</formula>
    </cfRule>
    <cfRule type="expression" dxfId="12" priority="13">
      <formula>AND($C$12&lt;&gt;0,NOT(C$12&gt;=0.2),NOT(nd($C$12&gt;=0.1,$C$12&lt;0.2)))</formula>
    </cfRule>
  </conditionalFormatting>
  <conditionalFormatting sqref="C13">
    <cfRule type="expression" dxfId="11" priority="14">
      <formula>$C$13&gt;=0.5</formula>
    </cfRule>
    <cfRule type="expression" dxfId="10" priority="15">
      <formula>AND($C$13&gt;=0.2,$C$13&lt;0.5)</formula>
    </cfRule>
    <cfRule type="expression" dxfId="9" priority="16">
      <formula>AND($C$13&lt;&gt;0,NOT(C$13&gt;=0.5),NOT(nd($C$13&gt;=0.2,$C$13&lt;0.5)))</formula>
    </cfRule>
  </conditionalFormatting>
  <conditionalFormatting sqref="C14">
    <cfRule type="expression" dxfId="8" priority="17">
      <formula>$C$14&gt;=1</formula>
    </cfRule>
    <cfRule type="expression" dxfId="7" priority="18">
      <formula>AND($C$14&gt;=0.5,$C$14&lt;1)</formula>
    </cfRule>
    <cfRule type="expression" dxfId="6" priority="19">
      <formula>AND($C$14&lt;&gt;0,NOT(C$14&gt;=1),NOT(nd($C$14&gt;=0.5,$C$14&lt;1)))</formula>
    </cfRule>
  </conditionalFormatting>
  <conditionalFormatting sqref="C15">
    <cfRule type="expression" dxfId="5" priority="20">
      <formula>$C$15&lt;=0.1</formula>
    </cfRule>
    <cfRule type="expression" dxfId="4" priority="21">
      <formula>AND($C$15&gt;0.1,$C$15&lt;=0.2)</formula>
    </cfRule>
    <cfRule type="expression" dxfId="3" priority="22">
      <formula>AND($C$15&lt;&gt;0,NOT(C$15&lt;=0.1),NOT(nd($C$15&gt;0.1,$C$15&lt;=0.2)))</formula>
    </cfRule>
  </conditionalFormatting>
  <conditionalFormatting sqref="C16">
    <cfRule type="expression" dxfId="2" priority="23">
      <formula>$C$16&gt;=6</formula>
    </cfRule>
    <cfRule type="expression" dxfId="1" priority="24">
      <formula>AND($C$16&gt;=3,$C$16&lt;6)</formula>
    </cfRule>
    <cfRule type="expression" dxfId="0" priority="25">
      <formula>AND($C$16&lt;&gt;0,NOT(C$16&gt;=6),NOT(nd($C$16&gt;=3,$C$16&lt;6)))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185FA5"/>
  </sheetPr>
  <dimension ref="A1:F47"/>
  <sheetViews>
    <sheetView showGridLines="0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1" sqref="C1"/>
    </sheetView>
  </sheetViews>
  <sheetFormatPr baseColWidth="10" defaultColWidth="8.6640625" defaultRowHeight="15" x14ac:dyDescent="0.2"/>
  <cols>
    <col min="1" max="1" width="3" customWidth="1"/>
    <col min="2" max="2" width="43.6640625" customWidth="1"/>
    <col min="3" max="4" width="18" customWidth="1"/>
    <col min="5" max="5" width="22" customWidth="1"/>
    <col min="6" max="6" width="3" customWidth="1"/>
  </cols>
  <sheetData>
    <row r="1" spans="1:6" ht="15" customHeight="1" x14ac:dyDescent="0.2">
      <c r="A1" s="1"/>
      <c r="B1" s="1"/>
      <c r="C1" s="1"/>
      <c r="D1" s="1"/>
      <c r="E1" s="1"/>
      <c r="F1" s="1"/>
    </row>
    <row r="2" spans="1:6" ht="39.75" customHeight="1" x14ac:dyDescent="0.2">
      <c r="A2" s="1"/>
      <c r="B2" s="80" t="s">
        <v>139</v>
      </c>
      <c r="C2" s="80"/>
      <c r="D2" s="80"/>
      <c r="E2" s="80"/>
      <c r="F2" s="1"/>
    </row>
    <row r="3" spans="1:6" ht="15" customHeight="1" x14ac:dyDescent="0.2">
      <c r="A3" s="1"/>
      <c r="B3" s="1"/>
      <c r="C3" s="1"/>
      <c r="D3" s="1"/>
      <c r="E3" s="1"/>
      <c r="F3" s="1"/>
    </row>
    <row r="4" spans="1:6" ht="18" customHeight="1" x14ac:dyDescent="0.2">
      <c r="A4" s="3"/>
      <c r="B4" s="3" t="s">
        <v>45</v>
      </c>
      <c r="C4" s="3" t="s">
        <v>46</v>
      </c>
      <c r="D4" s="3" t="s">
        <v>47</v>
      </c>
      <c r="E4" s="3" t="s">
        <v>140</v>
      </c>
    </row>
    <row r="5" spans="1:6" ht="19.5" customHeight="1" x14ac:dyDescent="0.2">
      <c r="B5" s="82" t="s">
        <v>141</v>
      </c>
      <c r="C5" s="82"/>
      <c r="D5" s="82"/>
      <c r="E5" s="82"/>
    </row>
    <row r="6" spans="1:6" ht="19.5" customHeight="1" x14ac:dyDescent="0.2">
      <c r="B6" s="82" t="s">
        <v>142</v>
      </c>
      <c r="C6" s="82"/>
      <c r="D6" s="82"/>
      <c r="E6" s="82"/>
    </row>
    <row r="7" spans="1:6" ht="18" customHeight="1" x14ac:dyDescent="0.2">
      <c r="B7" s="12" t="s">
        <v>143</v>
      </c>
      <c r="C7" s="13">
        <v>0</v>
      </c>
      <c r="D7" s="53">
        <f>IF(C7=0,0,C7/'⚙ Config'!$C$7)</f>
        <v>0</v>
      </c>
      <c r="E7" s="25" t="s">
        <v>144</v>
      </c>
    </row>
    <row r="8" spans="1:6" ht="18" customHeight="1" x14ac:dyDescent="0.2">
      <c r="B8" s="12" t="s">
        <v>145</v>
      </c>
      <c r="C8" s="13">
        <v>0</v>
      </c>
      <c r="D8" s="53">
        <f>IF(C8=0,0,C8/'⚙ Config'!$C$7)</f>
        <v>0</v>
      </c>
      <c r="E8" s="25" t="s">
        <v>144</v>
      </c>
    </row>
    <row r="9" spans="1:6" ht="18" customHeight="1" x14ac:dyDescent="0.2">
      <c r="B9" s="12" t="s">
        <v>146</v>
      </c>
      <c r="C9" s="13">
        <v>0</v>
      </c>
      <c r="D9" s="53">
        <f>IF(C9=0,0,C9/'⚙ Config'!$C$7)</f>
        <v>0</v>
      </c>
      <c r="E9" s="25" t="s">
        <v>144</v>
      </c>
    </row>
    <row r="10" spans="1:6" ht="18" customHeight="1" x14ac:dyDescent="0.2">
      <c r="B10" s="12" t="s">
        <v>147</v>
      </c>
      <c r="C10" s="13">
        <v>0</v>
      </c>
      <c r="D10" s="53">
        <f>IF(C10=0,0,C10/'⚙ Config'!$C$7)</f>
        <v>0</v>
      </c>
      <c r="E10" s="25" t="s">
        <v>144</v>
      </c>
    </row>
    <row r="11" spans="1:6" ht="18" customHeight="1" x14ac:dyDescent="0.2">
      <c r="B11" s="12" t="s">
        <v>148</v>
      </c>
      <c r="C11" s="13">
        <v>0</v>
      </c>
      <c r="D11" s="53">
        <f>IF(C11=0,0,C11/'⚙ Config'!$C$7)</f>
        <v>0</v>
      </c>
      <c r="E11" s="25" t="s">
        <v>144</v>
      </c>
    </row>
    <row r="12" spans="1:6" ht="18" customHeight="1" x14ac:dyDescent="0.2">
      <c r="B12" s="12" t="s">
        <v>149</v>
      </c>
      <c r="C12" s="13">
        <v>0</v>
      </c>
      <c r="D12" s="53">
        <f>IF(C12=0,0,C12/'⚙ Config'!$C$7)</f>
        <v>0</v>
      </c>
      <c r="E12" s="25" t="s">
        <v>150</v>
      </c>
    </row>
    <row r="13" spans="1:6" ht="18" customHeight="1" x14ac:dyDescent="0.2">
      <c r="B13" s="12" t="s">
        <v>151</v>
      </c>
      <c r="C13" s="13">
        <v>0</v>
      </c>
      <c r="D13" s="53">
        <f>IF(C13=0,0,C13/'⚙ Config'!$C$7)</f>
        <v>0</v>
      </c>
      <c r="E13" s="25" t="s">
        <v>152</v>
      </c>
    </row>
    <row r="14" spans="1:6" ht="18" customHeight="1" x14ac:dyDescent="0.2">
      <c r="B14" s="12" t="s">
        <v>153</v>
      </c>
      <c r="C14" s="13">
        <v>0</v>
      </c>
      <c r="D14" s="53">
        <f>IF(C14=0,0,C14/'⚙ Config'!$C$7)</f>
        <v>0</v>
      </c>
      <c r="E14" s="25" t="s">
        <v>150</v>
      </c>
    </row>
    <row r="15" spans="1:6" ht="18" customHeight="1" x14ac:dyDescent="0.2">
      <c r="B15" s="12" t="s">
        <v>154</v>
      </c>
      <c r="C15" s="13">
        <v>0</v>
      </c>
      <c r="D15" s="53">
        <f>IF(C15=0,0,C15/'⚙ Config'!$C$7)</f>
        <v>0</v>
      </c>
      <c r="E15" s="25" t="s">
        <v>152</v>
      </c>
    </row>
    <row r="16" spans="1:6" ht="18" customHeight="1" x14ac:dyDescent="0.2">
      <c r="B16" s="12" t="s">
        <v>155</v>
      </c>
      <c r="C16" s="13">
        <v>0</v>
      </c>
      <c r="D16" s="53">
        <f>IF(C16=0,0,C16/'⚙ Config'!$C$7)</f>
        <v>0</v>
      </c>
      <c r="E16" s="25"/>
    </row>
    <row r="17" spans="2:5" ht="21.75" customHeight="1" x14ac:dyDescent="0.2">
      <c r="B17" s="14" t="s">
        <v>156</v>
      </c>
      <c r="C17" s="15">
        <f>SUM(C7:C16)</f>
        <v>0</v>
      </c>
      <c r="D17" s="65">
        <f>SUM(D7:D16)</f>
        <v>0</v>
      </c>
    </row>
    <row r="18" spans="2:5" ht="6" customHeight="1" x14ac:dyDescent="0.2"/>
    <row r="19" spans="2:5" ht="19.5" customHeight="1" x14ac:dyDescent="0.2">
      <c r="B19" s="82" t="s">
        <v>157</v>
      </c>
      <c r="C19" s="82"/>
      <c r="D19" s="82"/>
      <c r="E19" s="82"/>
    </row>
    <row r="20" spans="2:5" ht="18" customHeight="1" x14ac:dyDescent="0.2">
      <c r="B20" s="12" t="s">
        <v>158</v>
      </c>
      <c r="C20" s="13">
        <v>0</v>
      </c>
      <c r="D20" s="53">
        <f>IF(C20=0,0,C20/'⚙ Config'!$C$7)</f>
        <v>0</v>
      </c>
      <c r="E20" s="25" t="s">
        <v>150</v>
      </c>
    </row>
    <row r="21" spans="2:5" ht="18" customHeight="1" x14ac:dyDescent="0.2">
      <c r="B21" s="12" t="s">
        <v>159</v>
      </c>
      <c r="C21" s="13">
        <v>0</v>
      </c>
      <c r="D21" s="53">
        <f>IF(C21=0,0,C21/'⚙ Config'!$C$7)</f>
        <v>0</v>
      </c>
      <c r="E21" s="25" t="s">
        <v>152</v>
      </c>
    </row>
    <row r="22" spans="2:5" ht="18" customHeight="1" x14ac:dyDescent="0.2">
      <c r="B22" s="12" t="s">
        <v>160</v>
      </c>
      <c r="C22" s="13">
        <v>0</v>
      </c>
      <c r="D22" s="53">
        <f>IF(C22=0,0,C22/'⚙ Config'!$C$7)</f>
        <v>0</v>
      </c>
      <c r="E22" s="25" t="s">
        <v>152</v>
      </c>
    </row>
    <row r="23" spans="2:5" ht="18" customHeight="1" x14ac:dyDescent="0.2">
      <c r="B23" s="12" t="s">
        <v>161</v>
      </c>
      <c r="C23" s="13">
        <v>0</v>
      </c>
      <c r="D23" s="53">
        <f>IF(C23=0,0,C23/'⚙ Config'!$C$7)</f>
        <v>0</v>
      </c>
      <c r="E23" s="25" t="s">
        <v>150</v>
      </c>
    </row>
    <row r="24" spans="2:5" ht="18" customHeight="1" x14ac:dyDescent="0.2">
      <c r="B24" s="12" t="s">
        <v>162</v>
      </c>
      <c r="C24" s="13">
        <v>0</v>
      </c>
      <c r="D24" s="53">
        <f>IF(C24=0,0,C24/'⚙ Config'!$C$7)</f>
        <v>0</v>
      </c>
      <c r="E24" s="25" t="s">
        <v>152</v>
      </c>
    </row>
    <row r="25" spans="2:5" ht="18" customHeight="1" x14ac:dyDescent="0.2">
      <c r="B25" s="12" t="s">
        <v>163</v>
      </c>
      <c r="C25" s="13">
        <v>0</v>
      </c>
      <c r="D25" s="53">
        <f>IF(C25=0,0,C25/'⚙ Config'!$C$7)</f>
        <v>0</v>
      </c>
      <c r="E25" s="25" t="s">
        <v>150</v>
      </c>
    </row>
    <row r="26" spans="2:5" ht="18" customHeight="1" x14ac:dyDescent="0.2">
      <c r="B26" s="12" t="s">
        <v>164</v>
      </c>
      <c r="C26" s="13">
        <v>0</v>
      </c>
      <c r="D26" s="53">
        <f>IF(C26=0,0,C26/'⚙ Config'!$C$7)</f>
        <v>0</v>
      </c>
      <c r="E26" s="25"/>
    </row>
    <row r="27" spans="2:5" ht="21.75" customHeight="1" x14ac:dyDescent="0.2">
      <c r="B27" s="14" t="s">
        <v>165</v>
      </c>
      <c r="C27" s="15">
        <f>SUM(C20:C26)</f>
        <v>0</v>
      </c>
      <c r="D27" s="65">
        <f>SUM(D20:D26)</f>
        <v>0</v>
      </c>
    </row>
    <row r="28" spans="2:5" ht="6" customHeight="1" x14ac:dyDescent="0.2">
      <c r="D28" s="96"/>
    </row>
    <row r="29" spans="2:5" ht="6" customHeight="1" x14ac:dyDescent="0.2">
      <c r="D29" s="96"/>
    </row>
    <row r="30" spans="2:5" ht="25.5" customHeight="1" x14ac:dyDescent="0.2">
      <c r="B30" s="26" t="s">
        <v>8</v>
      </c>
      <c r="C30" s="27">
        <f>C17+C27</f>
        <v>0</v>
      </c>
      <c r="D30" s="97">
        <f>D17+D27</f>
        <v>0</v>
      </c>
    </row>
    <row r="31" spans="2:5" ht="12" customHeight="1" x14ac:dyDescent="0.2"/>
    <row r="32" spans="2:5" ht="19.5" customHeight="1" x14ac:dyDescent="0.2">
      <c r="B32" s="82" t="s">
        <v>166</v>
      </c>
      <c r="C32" s="82"/>
      <c r="D32" s="82"/>
      <c r="E32" s="82"/>
    </row>
    <row r="33" spans="2:5" ht="18" customHeight="1" x14ac:dyDescent="0.2">
      <c r="B33" s="12" t="s">
        <v>167</v>
      </c>
      <c r="C33" s="13">
        <v>0</v>
      </c>
      <c r="D33" s="53">
        <f>IF(C33=0,0,C33/'⚙ Config'!$C$7)</f>
        <v>0</v>
      </c>
    </row>
    <row r="34" spans="2:5" ht="18" customHeight="1" x14ac:dyDescent="0.2">
      <c r="B34" s="12" t="s">
        <v>168</v>
      </c>
      <c r="C34" s="13">
        <v>0</v>
      </c>
      <c r="D34" s="53">
        <f>IF(C34=0,0,C34/'⚙ Config'!$C$7)</f>
        <v>0</v>
      </c>
    </row>
    <row r="35" spans="2:5" ht="18" customHeight="1" x14ac:dyDescent="0.2">
      <c r="B35" s="12" t="s">
        <v>169</v>
      </c>
      <c r="C35" s="13">
        <v>0</v>
      </c>
      <c r="D35" s="53">
        <f>IF(C35=0,0,C35/'⚙ Config'!$C$7)</f>
        <v>0</v>
      </c>
    </row>
    <row r="36" spans="2:5" ht="18" customHeight="1" x14ac:dyDescent="0.2">
      <c r="B36" s="12" t="s">
        <v>170</v>
      </c>
      <c r="C36" s="13">
        <v>0</v>
      </c>
      <c r="D36" s="53">
        <f>IF(C36=0,0,C36/'⚙ Config'!$C$7)</f>
        <v>0</v>
      </c>
    </row>
    <row r="37" spans="2:5" ht="18" customHeight="1" x14ac:dyDescent="0.2">
      <c r="B37" s="12" t="s">
        <v>171</v>
      </c>
      <c r="C37" s="13">
        <v>0</v>
      </c>
      <c r="D37" s="53">
        <f>IF(C37=0,0,C37/'⚙ Config'!$C$7)</f>
        <v>0</v>
      </c>
    </row>
    <row r="38" spans="2:5" ht="18" customHeight="1" x14ac:dyDescent="0.2">
      <c r="B38" s="12" t="s">
        <v>172</v>
      </c>
      <c r="C38" s="13">
        <v>0</v>
      </c>
      <c r="D38" s="53">
        <f>IF(C38=0,0,C38/'⚙ Config'!$C$7)</f>
        <v>0</v>
      </c>
    </row>
    <row r="39" spans="2:5" ht="18" customHeight="1" x14ac:dyDescent="0.2">
      <c r="B39" s="12" t="s">
        <v>173</v>
      </c>
      <c r="C39" s="13">
        <v>0</v>
      </c>
      <c r="D39" s="53">
        <f>IF(C39=0,0,C39/'⚙ Config'!$C$7)</f>
        <v>0</v>
      </c>
    </row>
    <row r="40" spans="2:5" ht="18" customHeight="1" x14ac:dyDescent="0.2">
      <c r="B40" s="12" t="s">
        <v>174</v>
      </c>
      <c r="C40" s="13">
        <v>0</v>
      </c>
      <c r="D40" s="53">
        <f>IF(C40=0,0,C40/'⚙ Config'!$C$7)</f>
        <v>0</v>
      </c>
    </row>
    <row r="41" spans="2:5" ht="18" customHeight="1" x14ac:dyDescent="0.2">
      <c r="B41" s="12"/>
      <c r="C41" s="13">
        <v>0</v>
      </c>
      <c r="D41" s="53">
        <f>IF(C41=0,0,C41/'⚙ Config'!$C$7)</f>
        <v>0</v>
      </c>
    </row>
    <row r="42" spans="2:5" ht="18" customHeight="1" x14ac:dyDescent="0.2">
      <c r="B42" s="12"/>
      <c r="C42" s="13">
        <v>0</v>
      </c>
      <c r="D42" s="53">
        <f>IF(C42=0,0,C42/'⚙ Config'!$C$7)</f>
        <v>0</v>
      </c>
    </row>
    <row r="43" spans="2:5" ht="18" customHeight="1" x14ac:dyDescent="0.2">
      <c r="B43" s="12"/>
      <c r="C43" s="13">
        <v>0</v>
      </c>
      <c r="D43" s="53">
        <f>IF(C43=0,0,C43/'⚙ Config'!$C$7)</f>
        <v>0</v>
      </c>
    </row>
    <row r="44" spans="2:5" ht="25.5" customHeight="1" x14ac:dyDescent="0.2">
      <c r="B44" s="28" t="s">
        <v>9</v>
      </c>
      <c r="C44" s="29">
        <f>SUM(C33:C43)</f>
        <v>0</v>
      </c>
      <c r="D44" s="67">
        <f>SUM(D33:D43)</f>
        <v>0</v>
      </c>
    </row>
    <row r="45" spans="2:5" ht="40" customHeight="1" x14ac:dyDescent="0.2">
      <c r="B45" s="14" t="s">
        <v>8</v>
      </c>
      <c r="C45" s="15">
        <f>C30</f>
        <v>0</v>
      </c>
      <c r="D45" s="65">
        <f>D30</f>
        <v>0</v>
      </c>
    </row>
    <row r="46" spans="2:5" ht="30" customHeight="1" x14ac:dyDescent="0.2">
      <c r="B46" s="30" t="s">
        <v>175</v>
      </c>
      <c r="C46" s="31">
        <f>C30-C44</f>
        <v>0</v>
      </c>
      <c r="D46" s="68">
        <f>D30-D44</f>
        <v>0</v>
      </c>
    </row>
    <row r="47" spans="2:5" ht="18" customHeight="1" x14ac:dyDescent="0.2">
      <c r="B47" s="91" t="s">
        <v>176</v>
      </c>
      <c r="C47" s="91"/>
      <c r="D47" s="91"/>
      <c r="E47" s="91"/>
    </row>
  </sheetData>
  <mergeCells count="6">
    <mergeCell ref="B47:E47"/>
    <mergeCell ref="B2:E2"/>
    <mergeCell ref="B5:E5"/>
    <mergeCell ref="B6:E6"/>
    <mergeCell ref="B19:E19"/>
    <mergeCell ref="B32:E32"/>
  </mergeCells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F77DD"/>
  </sheetPr>
  <dimension ref="A1:J64"/>
  <sheetViews>
    <sheetView showGridLines="0"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J27" sqref="J27"/>
    </sheetView>
  </sheetViews>
  <sheetFormatPr baseColWidth="10" defaultColWidth="8.6640625" defaultRowHeight="15" x14ac:dyDescent="0.2"/>
  <cols>
    <col min="1" max="1" width="3" customWidth="1"/>
    <col min="2" max="2" width="26.83203125" customWidth="1"/>
    <col min="3" max="6" width="16" customWidth="1"/>
    <col min="7" max="7" width="3" customWidth="1"/>
  </cols>
  <sheetData>
    <row r="1" spans="1:7" ht="15" customHeight="1" x14ac:dyDescent="0.2">
      <c r="A1" s="55"/>
      <c r="B1" s="55"/>
      <c r="C1" s="55"/>
      <c r="D1" s="55"/>
      <c r="E1" s="55"/>
      <c r="F1" s="55"/>
      <c r="G1" s="55"/>
    </row>
    <row r="2" spans="1:7" ht="39.75" customHeight="1" x14ac:dyDescent="0.2">
      <c r="A2" s="55"/>
      <c r="B2" s="93" t="s">
        <v>177</v>
      </c>
      <c r="C2" s="94"/>
      <c r="D2" s="94"/>
      <c r="E2" s="94"/>
      <c r="F2" s="94"/>
      <c r="G2" s="55"/>
    </row>
    <row r="3" spans="1:7" ht="15" customHeight="1" x14ac:dyDescent="0.2">
      <c r="A3" s="55"/>
      <c r="B3" s="55"/>
      <c r="C3" s="55"/>
      <c r="D3" s="55"/>
      <c r="E3" s="55"/>
      <c r="F3" s="55"/>
      <c r="G3" s="55"/>
    </row>
    <row r="4" spans="1:7" ht="21.75" customHeight="1" x14ac:dyDescent="0.2">
      <c r="B4" s="81" t="s">
        <v>178</v>
      </c>
      <c r="C4" s="81"/>
      <c r="D4" s="81"/>
      <c r="E4" s="81"/>
      <c r="F4" s="81"/>
    </row>
    <row r="5" spans="1:7" ht="18" customHeight="1" x14ac:dyDescent="0.2">
      <c r="A5" s="3"/>
      <c r="B5" s="3" t="s">
        <v>179</v>
      </c>
      <c r="C5" s="3" t="s">
        <v>25</v>
      </c>
      <c r="D5" s="3"/>
      <c r="E5" s="3"/>
    </row>
    <row r="6" spans="1:7" ht="21.75" customHeight="1" x14ac:dyDescent="0.2">
      <c r="B6" s="54" t="s">
        <v>196</v>
      </c>
      <c r="C6" s="32">
        <v>1000</v>
      </c>
    </row>
    <row r="7" spans="1:7" ht="21.75" customHeight="1" x14ac:dyDescent="0.2">
      <c r="B7" s="54" t="s">
        <v>197</v>
      </c>
      <c r="C7" s="32">
        <v>100</v>
      </c>
    </row>
    <row r="8" spans="1:7" ht="21.75" customHeight="1" x14ac:dyDescent="0.2">
      <c r="B8" s="54" t="s">
        <v>180</v>
      </c>
      <c r="C8" s="33">
        <v>0.08</v>
      </c>
    </row>
    <row r="9" spans="1:7" ht="21.75" customHeight="1" x14ac:dyDescent="0.2">
      <c r="B9" s="4" t="s">
        <v>181</v>
      </c>
      <c r="C9" s="34">
        <v>20</v>
      </c>
    </row>
    <row r="11" spans="1:7" ht="9.75" customHeight="1" x14ac:dyDescent="0.2"/>
    <row r="12" spans="1:7" ht="21.75" customHeight="1" x14ac:dyDescent="0.2">
      <c r="B12" s="89" t="s">
        <v>182</v>
      </c>
      <c r="C12" s="89"/>
      <c r="D12" s="89"/>
      <c r="E12" s="89"/>
      <c r="F12" s="89"/>
    </row>
    <row r="13" spans="1:7" ht="18" customHeight="1" x14ac:dyDescent="0.2">
      <c r="A13" s="3"/>
      <c r="B13" s="3" t="s">
        <v>45</v>
      </c>
      <c r="C13" s="3" t="s">
        <v>183</v>
      </c>
      <c r="D13" s="3" t="s">
        <v>184</v>
      </c>
      <c r="E13" s="3" t="s">
        <v>185</v>
      </c>
    </row>
    <row r="14" spans="1:7" ht="21.75" customHeight="1" x14ac:dyDescent="0.2">
      <c r="B14" s="4" t="s">
        <v>186</v>
      </c>
      <c r="C14" s="35">
        <f>C6+C7*12*C9</f>
        <v>25000</v>
      </c>
      <c r="D14" s="36">
        <f>C6*(1+C8/12)^(C9*12)+C7*((1+C8/12)^(C9*12)-1)/(C8/12)</f>
        <v>63828.844332955421</v>
      </c>
      <c r="E14" s="37">
        <f>D14-C14</f>
        <v>38828.844332955421</v>
      </c>
    </row>
    <row r="15" spans="1:7" ht="21.75" customHeight="1" x14ac:dyDescent="0.2">
      <c r="B15" s="4" t="s">
        <v>187</v>
      </c>
      <c r="C15" s="35">
        <f>C14-C6</f>
        <v>24000</v>
      </c>
      <c r="D15" s="36">
        <f>D14-C6-C7*12*C9</f>
        <v>38828.844332955421</v>
      </c>
      <c r="E15" s="37">
        <f>D15-C15</f>
        <v>14828.844332955421</v>
      </c>
    </row>
    <row r="16" spans="1:7" ht="21.75" customHeight="1" x14ac:dyDescent="0.2">
      <c r="B16" s="4" t="s">
        <v>188</v>
      </c>
      <c r="C16" s="38">
        <f>C14/C6</f>
        <v>25</v>
      </c>
      <c r="D16" s="39">
        <f>D14/C6</f>
        <v>63.82884433295542</v>
      </c>
      <c r="E16" s="40">
        <f>D16-C16</f>
        <v>38.82884433295542</v>
      </c>
    </row>
    <row r="18" spans="1:10" ht="9.75" customHeight="1" x14ac:dyDescent="0.2"/>
    <row r="19" spans="1:10" ht="21.75" customHeight="1" x14ac:dyDescent="0.2">
      <c r="B19" s="81" t="s">
        <v>189</v>
      </c>
      <c r="C19" s="81"/>
      <c r="D19" s="81"/>
      <c r="E19" s="81"/>
      <c r="F19" s="81"/>
    </row>
    <row r="20" spans="1:10" ht="19.5" customHeight="1" x14ac:dyDescent="0.2">
      <c r="B20" s="95" t="str">
        <f>CONCATENATE("Con tu tasa del ",TEXT(C8,"0%"),", tu dinero se duplica en aprox. ",ROUND(72/(C8*100),1)," años. (Regla del 72)")</f>
        <v>Con tu tasa del 8%, tu dinero se duplica en aprox. 9 años. (Regla del 72)</v>
      </c>
      <c r="C20" s="95"/>
      <c r="D20" s="95"/>
      <c r="E20" s="95"/>
      <c r="F20" s="95"/>
    </row>
    <row r="22" spans="1:10" ht="9.75" customHeight="1" x14ac:dyDescent="0.2"/>
    <row r="23" spans="1:10" ht="21.75" customHeight="1" x14ac:dyDescent="0.2">
      <c r="B23" s="92" t="s">
        <v>190</v>
      </c>
      <c r="C23" s="89"/>
      <c r="D23" s="89"/>
      <c r="E23" s="89"/>
      <c r="F23" s="89"/>
    </row>
    <row r="24" spans="1:10" ht="18" customHeight="1" x14ac:dyDescent="0.2">
      <c r="A24" s="3"/>
      <c r="B24" s="3" t="s">
        <v>191</v>
      </c>
      <c r="C24" s="3" t="s">
        <v>192</v>
      </c>
      <c r="D24" s="3" t="s">
        <v>193</v>
      </c>
      <c r="E24" s="3" t="s">
        <v>194</v>
      </c>
      <c r="F24" s="3" t="s">
        <v>195</v>
      </c>
    </row>
    <row r="25" spans="1:10" ht="15.75" customHeight="1" x14ac:dyDescent="0.2">
      <c r="B25" s="41">
        <v>1</v>
      </c>
      <c r="C25" s="42">
        <f>$C$6*(1+$C$8/12)^(1*12)+$C$7*((1+$C$8/12)^(1*12)-1)/($C$8/12)</f>
        <v>2327.9921089201598</v>
      </c>
      <c r="D25" s="42">
        <f>C25-$C$6-$C$7*12</f>
        <v>127.99210892015981</v>
      </c>
      <c r="E25" s="43">
        <f>C25-$C$6-$C$7*12*1</f>
        <v>127.99210892015981</v>
      </c>
      <c r="F25" s="44">
        <f>$C$6+$C$7*12*1</f>
        <v>2200</v>
      </c>
    </row>
    <row r="26" spans="1:10" ht="15.75" customHeight="1" x14ac:dyDescent="0.2">
      <c r="B26" s="45">
        <v>2</v>
      </c>
      <c r="C26" s="46">
        <f>$C$6*(1+$C$8/12)^(2*12)+$C$7*((1+$C$8/12)^(2*12)-1)/($C$8/12)</f>
        <v>3766.2069079249604</v>
      </c>
      <c r="D26" s="46">
        <f t="shared" ref="D26:D64" si="0">C26-C25-$C$7*12</f>
        <v>238.21479900480062</v>
      </c>
      <c r="E26" s="47">
        <f>C26-$C$6-$C$7*12*2</f>
        <v>366.20690792496043</v>
      </c>
      <c r="F26" s="48">
        <f>$C$6+$C$7*12*2</f>
        <v>3400</v>
      </c>
    </row>
    <row r="27" spans="1:10" ht="15.75" customHeight="1" x14ac:dyDescent="0.2">
      <c r="B27" s="41">
        <v>3</v>
      </c>
      <c r="C27" s="42">
        <f>$C$6*(1+$C$8/12)^(3*12)+$C$7*((1+$C$8/12)^(3*12)-1)/($C$8/12)</f>
        <v>5323.7928259304172</v>
      </c>
      <c r="D27" s="42">
        <f t="shared" si="0"/>
        <v>357.58591800545673</v>
      </c>
      <c r="E27" s="43">
        <f>C27-$C$6-$C$7*12*3</f>
        <v>723.79282593041717</v>
      </c>
      <c r="F27" s="44">
        <f>$C$6+$C$7*12*3</f>
        <v>4600</v>
      </c>
      <c r="J27" t="s">
        <v>206</v>
      </c>
    </row>
    <row r="28" spans="1:10" ht="15.75" customHeight="1" x14ac:dyDescent="0.2">
      <c r="B28" s="45">
        <v>4</v>
      </c>
      <c r="C28" s="46">
        <f>$C$6*(1+$C$8/12)^(4*12)+$C$7*((1+$C$8/12)^(4*12)-1)/($C$8/12)</f>
        <v>7010.6576069406537</v>
      </c>
      <c r="D28" s="46">
        <f t="shared" si="0"/>
        <v>486.86478101023658</v>
      </c>
      <c r="E28" s="47">
        <f>C28-$C$6-$C$7*12*4</f>
        <v>1210.6576069406537</v>
      </c>
      <c r="F28" s="48">
        <f>$C$6+$C$7*12*4</f>
        <v>5800</v>
      </c>
    </row>
    <row r="29" spans="1:10" ht="15.75" customHeight="1" x14ac:dyDescent="0.2">
      <c r="B29" s="41">
        <v>5</v>
      </c>
      <c r="C29" s="49">
        <f>$C$6*(1+$C$8/12)^(5*12)+$C$7*((1+$C$8/12)^(5*12)-1)/($C$8/12)</f>
        <v>8837.531332825698</v>
      </c>
      <c r="D29" s="42">
        <f t="shared" si="0"/>
        <v>626.87372588504422</v>
      </c>
      <c r="E29" s="43">
        <f>C29-$C$6-$C$7*12*5</f>
        <v>1837.531332825698</v>
      </c>
      <c r="F29" s="44">
        <f>$C$6+$C$7*12*5</f>
        <v>7000</v>
      </c>
    </row>
    <row r="30" spans="1:10" ht="15.75" customHeight="1" x14ac:dyDescent="0.2">
      <c r="B30" s="45">
        <v>6</v>
      </c>
      <c r="C30" s="46">
        <f>$C$6*(1+$C$8/12)^(6*12)+$C$7*((1+$C$8/12)^(6*12)-1)/($C$8/12)</f>
        <v>10816.034676958796</v>
      </c>
      <c r="D30" s="46">
        <f t="shared" si="0"/>
        <v>778.50334413309793</v>
      </c>
      <c r="E30" s="47">
        <f>C30-$C$6-$C$7*12*6</f>
        <v>2616.0346769587959</v>
      </c>
      <c r="F30" s="48">
        <f>$C$6+$C$7*12*6</f>
        <v>8200</v>
      </c>
    </row>
    <row r="31" spans="1:10" ht="15.75" customHeight="1" x14ac:dyDescent="0.2">
      <c r="B31" s="41">
        <v>7</v>
      </c>
      <c r="C31" s="42">
        <f>$C$6*(1+$C$8/12)^(7*12)+$C$7*((1+$C$8/12)^(7*12)-1)/($C$8/12)</f>
        <v>12958.752822871955</v>
      </c>
      <c r="D31" s="42">
        <f t="shared" si="0"/>
        <v>942.71814591315888</v>
      </c>
      <c r="E31" s="43">
        <f>C31-$C$6-$C$7*12*7</f>
        <v>3558.7528228719548</v>
      </c>
      <c r="F31" s="44">
        <f>$C$6+$C$7*12*7</f>
        <v>9400</v>
      </c>
    </row>
    <row r="32" spans="1:10" ht="15.75" customHeight="1" x14ac:dyDescent="0.2">
      <c r="B32" s="45">
        <v>8</v>
      </c>
      <c r="C32" s="46">
        <f>$C$6*(1+$C$8/12)^(8*12)+$C$7*((1+$C$8/12)^(8*12)-1)/($C$8/12)</f>
        <v>15279.315518123407</v>
      </c>
      <c r="D32" s="46">
        <f t="shared" si="0"/>
        <v>1120.5626952514522</v>
      </c>
      <c r="E32" s="47">
        <f>C32-$C$6-$C$7*12*8</f>
        <v>4679.3155181234069</v>
      </c>
      <c r="F32" s="48">
        <f>$C$6+$C$7*12*8</f>
        <v>10600</v>
      </c>
    </row>
    <row r="33" spans="2:6" ht="15.75" customHeight="1" x14ac:dyDescent="0.2">
      <c r="B33" s="41">
        <v>9</v>
      </c>
      <c r="C33" s="42">
        <f>$C$6*(1+$C$8/12)^(9*12)+$C$7*((1+$C$8/12)^(9*12)-1)/($C$8/12)</f>
        <v>17792.483772596635</v>
      </c>
      <c r="D33" s="42">
        <f t="shared" si="0"/>
        <v>1313.1682544732284</v>
      </c>
      <c r="E33" s="43">
        <f>C33-$C$6-$C$7*12*9</f>
        <v>5992.4837725966354</v>
      </c>
      <c r="F33" s="44">
        <f>$C$6+$C$7*12*9</f>
        <v>11800</v>
      </c>
    </row>
    <row r="34" spans="2:6" ht="15.75" customHeight="1" x14ac:dyDescent="0.2">
      <c r="B34" s="45">
        <v>10</v>
      </c>
      <c r="C34" s="49">
        <f>$C$6*(1+$C$8/12)^(10*12)+$C$7*((1+$C$8/12)^(10*12)-1)/($C$8/12)</f>
        <v>20514.243752715425</v>
      </c>
      <c r="D34" s="46">
        <f t="shared" si="0"/>
        <v>1521.7599801187898</v>
      </c>
      <c r="E34" s="47">
        <f>C34-$C$6-$C$7*12*10</f>
        <v>7514.2437527154252</v>
      </c>
      <c r="F34" s="48">
        <f>$C$6+$C$7*12*10</f>
        <v>13000</v>
      </c>
    </row>
    <row r="35" spans="2:6" ht="15.75" customHeight="1" x14ac:dyDescent="0.2">
      <c r="B35" s="41">
        <v>11</v>
      </c>
      <c r="C35" s="42">
        <f>$C$6*(1+$C$8/12)^(11*12)+$C$7*((1+$C$8/12)^(11*12)-1)/($C$8/12)</f>
        <v>23461.908468832502</v>
      </c>
      <c r="D35" s="42">
        <f t="shared" si="0"/>
        <v>1747.6647161170768</v>
      </c>
      <c r="E35" s="43">
        <f>C35-$C$6-$C$7*12*11</f>
        <v>9261.908468832502</v>
      </c>
      <c r="F35" s="44">
        <f>$C$6+$C$7*12*11</f>
        <v>14200</v>
      </c>
    </row>
    <row r="36" spans="2:6" ht="15.75" customHeight="1" x14ac:dyDescent="0.2">
      <c r="B36" s="45">
        <v>12</v>
      </c>
      <c r="C36" s="46">
        <f>$C$6*(1+$C$8/12)^(12*12)+$C$7*((1+$C$8/12)^(12*12)-1)/($C$8/12)</f>
        <v>26654.227902621195</v>
      </c>
      <c r="D36" s="46">
        <f t="shared" si="0"/>
        <v>1992.3194337886925</v>
      </c>
      <c r="E36" s="47">
        <f>C36-$C$6-$C$7*12*12</f>
        <v>11254.227902621195</v>
      </c>
      <c r="F36" s="48">
        <f>$C$6+$C$7*12*12</f>
        <v>15400</v>
      </c>
    </row>
    <row r="37" spans="2:6" ht="15.75" customHeight="1" x14ac:dyDescent="0.2">
      <c r="B37" s="41">
        <v>13</v>
      </c>
      <c r="C37" s="42">
        <f>$C$6*(1+$C$8/12)^(13*12)+$C$7*((1+$C$8/12)^(13*12)-1)/($C$8/12)</f>
        <v>30111.508274986369</v>
      </c>
      <c r="D37" s="42">
        <f t="shared" si="0"/>
        <v>2257.2803723651741</v>
      </c>
      <c r="E37" s="43">
        <f>C37-$C$6-$C$7*12*13</f>
        <v>13511.508274986369</v>
      </c>
      <c r="F37" s="44">
        <f>$C$6+$C$7*12*13</f>
        <v>16600</v>
      </c>
    </row>
    <row r="38" spans="2:6" ht="15.75" customHeight="1" x14ac:dyDescent="0.2">
      <c r="B38" s="45">
        <v>14</v>
      </c>
      <c r="C38" s="46">
        <f>$C$6*(1+$C$8/12)^(14*12)+$C$7*((1+$C$8/12)^(14*12)-1)/($C$8/12)</f>
        <v>33855.741213153146</v>
      </c>
      <c r="D38" s="46">
        <f t="shared" si="0"/>
        <v>2544.2329381667769</v>
      </c>
      <c r="E38" s="47">
        <f>C38-$C$6-$C$7*12*14</f>
        <v>16055.741213153146</v>
      </c>
      <c r="F38" s="48">
        <f>$C$6+$C$7*12*14</f>
        <v>17800</v>
      </c>
    </row>
    <row r="39" spans="2:6" ht="15.75" customHeight="1" x14ac:dyDescent="0.2">
      <c r="B39" s="41">
        <v>15</v>
      </c>
      <c r="C39" s="49">
        <f>$C$6*(1+$C$8/12)^(15*12)+$C$7*((1+$C$8/12)^(15*12)-1)/($C$8/12)</f>
        <v>37910.743638560205</v>
      </c>
      <c r="D39" s="42">
        <f t="shared" si="0"/>
        <v>2855.0024254070595</v>
      </c>
      <c r="E39" s="43">
        <f>C39-$C$6-$C$7*12*15</f>
        <v>18910.743638560205</v>
      </c>
      <c r="F39" s="44">
        <f>$C$6+$C$7*12*15</f>
        <v>19000</v>
      </c>
    </row>
    <row r="40" spans="2:6" ht="15.75" customHeight="1" x14ac:dyDescent="0.2">
      <c r="B40" s="45">
        <v>16</v>
      </c>
      <c r="C40" s="46">
        <f>$C$6*(1+$C$8/12)^(16*12)+$C$7*((1+$C$8/12)^(16*12)-1)/($C$8/12)</f>
        <v>42302.309265379299</v>
      </c>
      <c r="D40" s="46">
        <f t="shared" si="0"/>
        <v>3191.5656268190942</v>
      </c>
      <c r="E40" s="47">
        <f>C40-$C$6-$C$7*12*16</f>
        <v>22102.309265379299</v>
      </c>
      <c r="F40" s="48">
        <f>$C$6+$C$7*12*16</f>
        <v>20200</v>
      </c>
    </row>
    <row r="41" spans="2:6" ht="15.75" customHeight="1" x14ac:dyDescent="0.2">
      <c r="B41" s="41">
        <v>17</v>
      </c>
      <c r="C41" s="42">
        <f>$C$6*(1+$C$8/12)^(17*12)+$C$7*((1+$C$8/12)^(17*12)-1)/($C$8/12)</f>
        <v>47058.372673337188</v>
      </c>
      <c r="D41" s="42">
        <f t="shared" si="0"/>
        <v>3556.0634079578886</v>
      </c>
      <c r="E41" s="43">
        <f>C41-$C$6-$C$7*12*17</f>
        <v>25658.372673337188</v>
      </c>
      <c r="F41" s="44">
        <f>$C$6+$C$7*12*17</f>
        <v>21400</v>
      </c>
    </row>
    <row r="42" spans="2:6" ht="15.75" customHeight="1" x14ac:dyDescent="0.2">
      <c r="B42" s="45">
        <v>18</v>
      </c>
      <c r="C42" s="46">
        <f>$C$6*(1+$C$8/12)^(18*12)+$C$7*((1+$C$8/12)^(18*12)-1)/($C$8/12)</f>
        <v>52209.186998500831</v>
      </c>
      <c r="D42" s="46">
        <f t="shared" si="0"/>
        <v>3950.8143251636429</v>
      </c>
      <c r="E42" s="47">
        <f>C42-$C$6-$C$7*12*18</f>
        <v>29609.186998500831</v>
      </c>
      <c r="F42" s="48">
        <f>$C$6+$C$7*12*18</f>
        <v>22600</v>
      </c>
    </row>
    <row r="43" spans="2:6" ht="15.75" customHeight="1" x14ac:dyDescent="0.2">
      <c r="B43" s="41">
        <v>19</v>
      </c>
      <c r="C43" s="42">
        <f>$C$6*(1+$C$8/12)^(19*12)+$C$7*((1+$C$8/12)^(19*12)-1)/($C$8/12)</f>
        <v>57787.516372310114</v>
      </c>
      <c r="D43" s="42">
        <f t="shared" si="0"/>
        <v>4378.3293738092834</v>
      </c>
      <c r="E43" s="43">
        <f>C43-$C$6-$C$7*12*19</f>
        <v>33987.516372310114</v>
      </c>
      <c r="F43" s="44">
        <f>$C$6+$C$7*12*19</f>
        <v>23800</v>
      </c>
    </row>
    <row r="44" spans="2:6" ht="15.75" customHeight="1" x14ac:dyDescent="0.2">
      <c r="B44" s="45">
        <v>20</v>
      </c>
      <c r="C44" s="49">
        <f>$C$6*(1+$C$8/12)^(20*12)+$C$7*((1+$C$8/12)^(20*12)-1)/($C$8/12)</f>
        <v>63828.844332955421</v>
      </c>
      <c r="D44" s="46">
        <f t="shared" si="0"/>
        <v>4841.327960645307</v>
      </c>
      <c r="E44" s="47">
        <f>C44-$C$6-$C$7*12*20</f>
        <v>38828.844332955421</v>
      </c>
      <c r="F44" s="48">
        <f>$C$6+$C$7*12*20</f>
        <v>25000</v>
      </c>
    </row>
    <row r="45" spans="2:6" ht="15.75" customHeight="1" x14ac:dyDescent="0.2">
      <c r="B45" s="41">
        <v>21</v>
      </c>
      <c r="C45" s="42">
        <f>$C$6*(1+$C$8/12)^(21*12)+$C$7*((1+$C$8/12)^(21*12)-1)/($C$8/12)</f>
        <v>70371.599534796711</v>
      </c>
      <c r="D45" s="42">
        <f t="shared" si="0"/>
        <v>5342.7552018412898</v>
      </c>
      <c r="E45" s="43">
        <f>C45-$C$6-$C$7*12*21</f>
        <v>44171.599534796711</v>
      </c>
      <c r="F45" s="44">
        <f>$C$6+$C$7*12*21</f>
        <v>26200</v>
      </c>
    </row>
    <row r="46" spans="2:6" ht="15.75" customHeight="1" x14ac:dyDescent="0.2">
      <c r="B46" s="45">
        <v>22</v>
      </c>
      <c r="C46" s="46">
        <f>$C$6*(1+$C$8/12)^(22*12)+$C$7*((1+$C$8/12)^(22*12)-1)/($C$8/12)</f>
        <v>77457.400191553083</v>
      </c>
      <c r="D46" s="46">
        <f t="shared" si="0"/>
        <v>5885.8006567563716</v>
      </c>
      <c r="E46" s="47">
        <f>C46-$C$6-$C$7*12*22</f>
        <v>50057.400191553083</v>
      </c>
      <c r="F46" s="48">
        <f>$C$6+$C$7*12*22</f>
        <v>27400</v>
      </c>
    </row>
    <row r="47" spans="2:6" ht="15.75" customHeight="1" x14ac:dyDescent="0.2">
      <c r="B47" s="41">
        <v>23</v>
      </c>
      <c r="C47" s="42">
        <f>$C$6*(1+$C$8/12)^(23*12)+$C$7*((1+$C$8/12)^(23*12)-1)/($C$8/12)</f>
        <v>85131.318808156546</v>
      </c>
      <c r="D47" s="42">
        <f t="shared" si="0"/>
        <v>6473.9186166034633</v>
      </c>
      <c r="E47" s="43">
        <f>C47-$C$6-$C$7*12*23</f>
        <v>56531.318808156546</v>
      </c>
      <c r="F47" s="44">
        <f>$C$6+$C$7*12*23</f>
        <v>28600</v>
      </c>
    </row>
    <row r="48" spans="2:6" ht="15.75" customHeight="1" x14ac:dyDescent="0.2">
      <c r="B48" s="45">
        <v>24</v>
      </c>
      <c r="C48" s="46">
        <f>$C$6*(1+$C$8/12)^(24*12)+$C$7*((1+$C$8/12)^(24*12)-1)/($C$8/12)</f>
        <v>93442.168885219115</v>
      </c>
      <c r="D48" s="46">
        <f t="shared" si="0"/>
        <v>7110.8500770625687</v>
      </c>
      <c r="E48" s="47">
        <f>C48-$C$6-$C$7*12*24</f>
        <v>63642.168885219115</v>
      </c>
      <c r="F48" s="48">
        <f>$C$6+$C$7*12*24</f>
        <v>29800</v>
      </c>
    </row>
    <row r="49" spans="2:6" ht="15.75" customHeight="1" x14ac:dyDescent="0.2">
      <c r="B49" s="41">
        <v>25</v>
      </c>
      <c r="C49" s="49">
        <f>$C$6*(1+$C$8/12)^(25*12)+$C$7*((1+$C$8/12)^(25*12)-1)/($C$8/12)</f>
        <v>102442.815419829</v>
      </c>
      <c r="D49" s="42">
        <f t="shared" si="0"/>
        <v>7800.6465346098848</v>
      </c>
      <c r="E49" s="43">
        <f>C49-$C$6-$C$7*12*25</f>
        <v>71442.815419828999</v>
      </c>
      <c r="F49" s="44">
        <f>$C$6+$C$7*12*25</f>
        <v>31000</v>
      </c>
    </row>
    <row r="50" spans="2:6" ht="15.75" customHeight="1" x14ac:dyDescent="0.2">
      <c r="B50" s="45">
        <v>26</v>
      </c>
      <c r="C50" s="46">
        <f>$C$6*(1+$C$8/12)^(26*12)+$C$7*((1+$C$8/12)^(26*12)-1)/($C$8/12)</f>
        <v>112190.51117776026</v>
      </c>
      <c r="D50" s="46">
        <f t="shared" si="0"/>
        <v>8547.6957579312584</v>
      </c>
      <c r="E50" s="47">
        <f>C50-$C$6-$C$7*12*26</f>
        <v>79990.511177760258</v>
      </c>
      <c r="F50" s="48">
        <f>$C$6+$C$7*12*26</f>
        <v>32200</v>
      </c>
    </row>
    <row r="51" spans="2:6" ht="15.75" customHeight="1" x14ac:dyDescent="0.2">
      <c r="B51" s="41">
        <v>27</v>
      </c>
      <c r="C51" s="42">
        <f>$C$6*(1+$C$8/12)^(27*12)+$C$7*((1+$C$8/12)^(27*12)-1)/($C$8/12)</f>
        <v>122747.26087610942</v>
      </c>
      <c r="D51" s="42">
        <f t="shared" si="0"/>
        <v>9356.7496983491583</v>
      </c>
      <c r="E51" s="43">
        <f>C51-$C$6-$C$7*12*27</f>
        <v>89347.260876109416</v>
      </c>
      <c r="F51" s="44">
        <f>$C$6+$C$7*12*27</f>
        <v>33400</v>
      </c>
    </row>
    <row r="52" spans="2:6" ht="15.75" customHeight="1" x14ac:dyDescent="0.2">
      <c r="B52" s="45">
        <v>28</v>
      </c>
      <c r="C52" s="46">
        <f>$C$6*(1+$C$8/12)^(28*12)+$C$7*((1+$C$8/12)^(28*12)-1)/($C$8/12)</f>
        <v>134180.21559291196</v>
      </c>
      <c r="D52" s="46">
        <f t="shared" si="0"/>
        <v>10232.954716802546</v>
      </c>
      <c r="E52" s="47">
        <f>C52-$C$6-$C$7*12*28</f>
        <v>99580.215592911962</v>
      </c>
      <c r="F52" s="48">
        <f>$C$6+$C$7*12*28</f>
        <v>34600</v>
      </c>
    </row>
    <row r="53" spans="2:6" ht="15.75" customHeight="1" x14ac:dyDescent="0.2">
      <c r="B53" s="41">
        <v>29</v>
      </c>
      <c r="C53" s="42">
        <f>$C$6*(1+$C$8/12)^(29*12)+$C$7*((1+$C$8/12)^(29*12)-1)/($C$8/12)</f>
        <v>146562.09991256162</v>
      </c>
      <c r="D53" s="42">
        <f t="shared" si="0"/>
        <v>11181.88431964966</v>
      </c>
      <c r="E53" s="43">
        <f>C53-$C$6-$C$7*12*29</f>
        <v>110762.09991256162</v>
      </c>
      <c r="F53" s="44">
        <f>$C$6+$C$7*12*29</f>
        <v>35800</v>
      </c>
    </row>
    <row r="54" spans="2:6" ht="15.75" customHeight="1" x14ac:dyDescent="0.2">
      <c r="B54" s="45">
        <v>30</v>
      </c>
      <c r="C54" s="49">
        <f>$C$6*(1+$C$8/12)^(30*12)+$C$7*((1+$C$8/12)^(30*12)-1)/($C$8/12)</f>
        <v>159971.67452408993</v>
      </c>
      <c r="D54" s="46">
        <f t="shared" si="0"/>
        <v>12209.574611528311</v>
      </c>
      <c r="E54" s="47">
        <f>C54-$C$6-$C$7*12*30</f>
        <v>122971.67452408993</v>
      </c>
      <c r="F54" s="48">
        <f>$C$6+$C$7*12*30</f>
        <v>37000</v>
      </c>
    </row>
    <row r="55" spans="2:6" ht="15.75" customHeight="1" x14ac:dyDescent="0.2">
      <c r="B55" s="41">
        <v>31</v>
      </c>
      <c r="C55" s="42">
        <f>$C$6*(1+$C$8/12)^(31*12)+$C$7*((1+$C$8/12)^(31*12)-1)/($C$8/12)</f>
        <v>174494.23721487357</v>
      </c>
      <c r="D55" s="42">
        <f t="shared" si="0"/>
        <v>13322.562690783641</v>
      </c>
      <c r="E55" s="43">
        <f>C55-$C$6-$C$7*12*31</f>
        <v>136294.23721487357</v>
      </c>
      <c r="F55" s="44">
        <f>$C$6+$C$7*12*31</f>
        <v>38200</v>
      </c>
    </row>
    <row r="56" spans="2:6" ht="15.75" customHeight="1" x14ac:dyDescent="0.2">
      <c r="B56" s="45">
        <v>32</v>
      </c>
      <c r="C56" s="46">
        <f>$C$6*(1+$C$8/12)^(32*12)+$C$7*((1+$C$8/12)^(32*12)-1)/($C$8/12)</f>
        <v>190222.16544657337</v>
      </c>
      <c r="D56" s="46">
        <f t="shared" si="0"/>
        <v>14527.9282316998</v>
      </c>
      <c r="E56" s="47">
        <f>C56-$C$6-$C$7*12*32</f>
        <v>150822.16544657337</v>
      </c>
      <c r="F56" s="48">
        <f>$C$6+$C$7*12*32</f>
        <v>39400</v>
      </c>
    </row>
    <row r="57" spans="2:6" ht="15.75" customHeight="1" x14ac:dyDescent="0.2">
      <c r="B57" s="41">
        <v>33</v>
      </c>
      <c r="C57" s="42">
        <f>$C$6*(1+$C$8/12)^(33*12)+$C$7*((1+$C$8/12)^(33*12)-1)/($C$8/12)</f>
        <v>207255.50396460816</v>
      </c>
      <c r="D57" s="42">
        <f t="shared" si="0"/>
        <v>15833.338518034783</v>
      </c>
      <c r="E57" s="43">
        <f>C57-$C$6-$C$7*12*33</f>
        <v>166655.50396460816</v>
      </c>
      <c r="F57" s="44">
        <f>$C$6+$C$7*12*33</f>
        <v>40600</v>
      </c>
    </row>
    <row r="58" spans="2:6" ht="15.75" customHeight="1" x14ac:dyDescent="0.2">
      <c r="B58" s="45">
        <v>34</v>
      </c>
      <c r="C58" s="46">
        <f>$C$6*(1+$C$8/12)^(34*12)+$C$7*((1+$C$8/12)^(34*12)-1)/($C$8/12)</f>
        <v>225702.60117892528</v>
      </c>
      <c r="D58" s="46">
        <f t="shared" si="0"/>
        <v>17247.097214317124</v>
      </c>
      <c r="E58" s="47">
        <f>C58-$C$6-$C$7*12*34</f>
        <v>183902.60117892528</v>
      </c>
      <c r="F58" s="48">
        <f>$C$6+$C$7*12*34</f>
        <v>41800</v>
      </c>
    </row>
    <row r="59" spans="2:6" ht="15.75" customHeight="1" x14ac:dyDescent="0.2">
      <c r="B59" s="41">
        <v>35</v>
      </c>
      <c r="C59" s="49">
        <f>$C$6*(1+$C$8/12)^(35*12)+$C$7*((1+$C$8/12)^(35*12)-1)/($C$8/12)</f>
        <v>245680.79836406081</v>
      </c>
      <c r="D59" s="42">
        <f t="shared" si="0"/>
        <v>18778.197185135534</v>
      </c>
      <c r="E59" s="43">
        <f>C59-$C$6-$C$7*12*35</f>
        <v>202680.79836406081</v>
      </c>
      <c r="F59" s="44">
        <f>$C$6+$C$7*12*35</f>
        <v>43000</v>
      </c>
    </row>
    <row r="60" spans="2:6" ht="15.75" customHeight="1" x14ac:dyDescent="0.2">
      <c r="B60" s="45">
        <v>36</v>
      </c>
      <c r="C60" s="46">
        <f>$C$6*(1+$C$8/12)^(36*12)+$C$7*((1+$C$8/12)^(36*12)-1)/($C$8/12)</f>
        <v>267317.17606246582</v>
      </c>
      <c r="D60" s="46">
        <f t="shared" si="0"/>
        <v>20436.377698405006</v>
      </c>
      <c r="E60" s="47">
        <f>C60-$C$6-$C$7*12*36</f>
        <v>223117.17606246582</v>
      </c>
      <c r="F60" s="48">
        <f>$C$6+$C$7*12*36</f>
        <v>44200</v>
      </c>
    </row>
    <row r="61" spans="2:6" ht="15.75" customHeight="1" x14ac:dyDescent="0.2">
      <c r="B61" s="41">
        <v>37</v>
      </c>
      <c r="C61" s="42">
        <f>$C$6*(1+$C$8/12)^(37*12)+$C$7*((1+$C$8/12)^(37*12)-1)/($C$8/12)</f>
        <v>290749.36243893945</v>
      </c>
      <c r="D61" s="42">
        <f t="shared" si="0"/>
        <v>22232.186376473634</v>
      </c>
      <c r="E61" s="43">
        <f>C61-$C$6-$C$7*12*37</f>
        <v>245349.36243893945</v>
      </c>
      <c r="F61" s="44">
        <f>$C$6+$C$7*12*37</f>
        <v>45400</v>
      </c>
    </row>
    <row r="62" spans="2:6" ht="15.75" customHeight="1" x14ac:dyDescent="0.2">
      <c r="B62" s="45">
        <v>38</v>
      </c>
      <c r="C62" s="46">
        <f>$C$6*(1+$C$8/12)^(38*12)+$C$7*((1+$C$8/12)^(38*12)-1)/($C$8/12)</f>
        <v>316126.40872808208</v>
      </c>
      <c r="D62" s="46">
        <f t="shared" si="0"/>
        <v>24177.046289142629</v>
      </c>
      <c r="E62" s="47">
        <f>C62-$C$6-$C$7*12*38</f>
        <v>269526.40872808208</v>
      </c>
      <c r="F62" s="48">
        <f>$C$6+$C$7*12*38</f>
        <v>46600</v>
      </c>
    </row>
    <row r="63" spans="2:6" ht="15.75" customHeight="1" x14ac:dyDescent="0.2">
      <c r="B63" s="41">
        <v>39</v>
      </c>
      <c r="C63" s="42">
        <f>$C$6*(1+$C$8/12)^(39*12)+$C$7*((1+$C$8/12)^(39*12)-1)/($C$8/12)</f>
        <v>343609.73734345485</v>
      </c>
      <c r="D63" s="42">
        <f t="shared" si="0"/>
        <v>26283.328615372768</v>
      </c>
      <c r="E63" s="43">
        <f>C63-$C$6-$C$7*12*39</f>
        <v>295809.73734345485</v>
      </c>
      <c r="F63" s="44">
        <f>$C$6+$C$7*12*39</f>
        <v>47800</v>
      </c>
    </row>
    <row r="64" spans="2:6" ht="15.75" customHeight="1" x14ac:dyDescent="0.2">
      <c r="B64" s="45">
        <v>40</v>
      </c>
      <c r="C64" s="49">
        <f>$C$6*(1+$C$8/12)^(40*12)+$C$7*((1+$C$8/12)^(40*12)-1)/($C$8/12)</f>
        <v>373374.16867933242</v>
      </c>
      <c r="D64" s="46">
        <f t="shared" si="0"/>
        <v>28564.431335877569</v>
      </c>
      <c r="E64" s="47">
        <f>C64-$C$6-$C$7*12*40</f>
        <v>324374.16867933242</v>
      </c>
      <c r="F64" s="48">
        <f>$C$6+$C$7*12*40</f>
        <v>49000</v>
      </c>
    </row>
  </sheetData>
  <mergeCells count="6">
    <mergeCell ref="B23:F23"/>
    <mergeCell ref="B2:F2"/>
    <mergeCell ref="B4:F4"/>
    <mergeCell ref="B12:F12"/>
    <mergeCell ref="B19:F19"/>
    <mergeCell ref="B20:F20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🏠 INICIO</vt:lpstr>
      <vt:lpstr>⚙ Config</vt:lpstr>
      <vt:lpstr>💰 Ingresos</vt:lpstr>
      <vt:lpstr>💸 Gastos</vt:lpstr>
      <vt:lpstr>⚡ Flujo de Caja</vt:lpstr>
      <vt:lpstr>📊 Patrimonio</vt:lpstr>
      <vt:lpstr>📈 Interés Compuesto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Neri Herrlein</cp:lastModifiedBy>
  <cp:revision>0</cp:revision>
  <dcterms:created xsi:type="dcterms:W3CDTF">2026-05-03T01:01:25Z</dcterms:created>
  <dcterms:modified xsi:type="dcterms:W3CDTF">2026-07-05T01:39:50Z</dcterms:modified>
  <dc:language>en-US</dc:language>
</cp:coreProperties>
</file>